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udov\Desktop\"/>
    </mc:Choice>
  </mc:AlternateContent>
  <bookViews>
    <workbookView xWindow="0" yWindow="24600" windowWidth="23040" windowHeight="9072"/>
  </bookViews>
  <sheets>
    <sheet name="Travail" sheetId="6" r:id="rId1"/>
    <sheet name="Synthése" sheetId="14" r:id="rId2"/>
    <sheet name="Paie" sheetId="17" r:id="rId3"/>
    <sheet name="DATA" sheetId="11" r:id="rId4"/>
  </sheets>
  <externalReferences>
    <externalReference r:id="rId5"/>
  </externalReferences>
  <definedNames>
    <definedName name="Année_Calendaire" localSheetId="2">[1]Travail!$A$1</definedName>
    <definedName name="Année_Calendaire">Travail!$A$1</definedName>
    <definedName name="Aoû_Dim1" localSheetId="2">DATE(Paie!Année_Calendaire,8,1)-WEEKDAY(DATE(Paie!Année_Calendaire,8,1))+1</definedName>
    <definedName name="Aoû_Dim1">DATE(Année_Calendaire,8,1)-WEEKDAY(DATE(Année_Calendaire,8,1))+1</definedName>
    <definedName name="Avr_Dim1" localSheetId="2">DATE(Paie!Année_Calendaire,4,1)-WEEKDAY(DATE(Paie!Année_Calendaire,4,1))+1</definedName>
    <definedName name="Avr_Dim1">DATE(Année_Calendaire,4,1)-WEEKDAY(DATE(Année_Calendaire,4,1))+1</definedName>
    <definedName name="Déc_Dim1" localSheetId="2">DATE(Paie!Année_Calendaire,12,1)-WEEKDAY(DATE(Paie!Année_Calendaire,12,1))+1</definedName>
    <definedName name="Déc_Dim1">DATE(Année_Calendaire,12,1)-WEEKDAY(DATE(Année_Calendaire,12,1))+1</definedName>
    <definedName name="Fév_Dim1" localSheetId="2">DATE(Paie!Année_Calendaire,2,1)-WEEKDAY(DATE(Paie!Année_Calendaire,2,1))+1</definedName>
    <definedName name="Fév_Dim1">DATE(Année_Calendaire,2,1)-WEEKDAY(DATE(Année_Calendaire,2,1))+1</definedName>
    <definedName name="Jan_Dim1" localSheetId="2">DATE(Paie!Année_Calendaire,1,1)-WEEKDAY(DATE(Paie!Année_Calendaire,1,1))+1</definedName>
    <definedName name="Jan_Dim1">DATE(Année_Calendaire,1,1)-WEEKDAY(DATE(Année_Calendaire,1,1))+1</definedName>
    <definedName name="Janv" localSheetId="2">[1]Synthése!$C$1:$N$1</definedName>
    <definedName name="Janv">Synthése!$C$1:$N$1</definedName>
    <definedName name="Juil_Dim1" localSheetId="2">DATE(Paie!Année_Calendaire,7,1)-WEEKDAY(DATE(Paie!Année_Calendaire,7,1))+1</definedName>
    <definedName name="Juil_Dim1">DATE(Année_Calendaire,7,1)-WEEKDAY(DATE(Année_Calendaire,7,1))+1</definedName>
    <definedName name="Juin_Dim1" localSheetId="2">DATE(Paie!Année_Calendaire,6,1)-WEEKDAY(DATE(Paie!Année_Calendaire,6,1))+1</definedName>
    <definedName name="Juin_Dim1">DATE(Année_Calendaire,6,1)-WEEKDAY(DATE(Année_Calendaire,6,1))+1</definedName>
    <definedName name="Mai_Dim1" localSheetId="2">DATE(Paie!Année_Calendaire,5,1)-WEEKDAY(DATE(Paie!Année_Calendaire,5,1))+1</definedName>
    <definedName name="Mai_Dim1">DATE(Année_Calendaire,5,1)-WEEKDAY(DATE(Année_Calendaire,5,1))+1</definedName>
    <definedName name="Mar_Dim1" localSheetId="2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2">DATE(Paie!Année_Calendaire,11,1)-WEEKDAY(DATE(Paie!Année_Calendaire,11,1))+1</definedName>
    <definedName name="Nov_Dim1">DATE(Année_Calendaire,11,1)-WEEKDAY(DATE(Année_Calendaire,11,1))+1</definedName>
    <definedName name="Oct_Dim1" localSheetId="2">DATE(Paie!Année_Calendaire,10,1)-WEEKDAY(DATE(Paie!Année_Calendaire,10,1))+1</definedName>
    <definedName name="Oct_Dim1">DATE(Année_Calendaire,10,1)-WEEKDAY(DATE(Année_Calendaire,10,1))+1</definedName>
    <definedName name="Sep_Dim1" localSheetId="2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5" i="6" l="1"/>
  <c r="K5" i="6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AC5" i="6"/>
  <c r="AL5" i="6" s="1"/>
  <c r="Q7" i="6" l="1"/>
  <c r="AA7" i="6"/>
  <c r="U7" i="6"/>
  <c r="AE7" i="6"/>
  <c r="AO7" i="6"/>
  <c r="A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I13" i="6"/>
  <c r="I12" i="6"/>
  <c r="I11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G20" i="14"/>
  <c r="E20" i="14"/>
  <c r="F15" i="14"/>
  <c r="D20" i="14"/>
  <c r="E15" i="14"/>
  <c r="F11" i="14"/>
  <c r="D11" i="14"/>
  <c r="E11" i="14"/>
  <c r="G11" i="14"/>
  <c r="F20" i="14"/>
  <c r="G15" i="14"/>
  <c r="AN109" i="6"/>
  <c r="AP109" i="6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C115" i="6" l="1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AV109" i="6"/>
  <c r="AX109" i="6" s="1"/>
  <c r="AS104" i="6"/>
  <c r="AT104" i="6" s="1"/>
  <c r="AY104" i="6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4"/>
  <c r="G9" i="14"/>
  <c r="F14" i="14"/>
  <c r="D9" i="14"/>
  <c r="E10" i="14"/>
  <c r="D14" i="14"/>
  <c r="F9" i="14"/>
  <c r="G14" i="14"/>
  <c r="G10" i="14"/>
  <c r="E9" i="14"/>
  <c r="D15" i="14"/>
  <c r="F10" i="14"/>
  <c r="C20" i="14"/>
  <c r="E14" i="14"/>
  <c r="T113" i="6"/>
  <c r="X115" i="6" s="1"/>
  <c r="M115" i="6"/>
  <c r="R115" i="6"/>
  <c r="R127" i="6" s="1"/>
  <c r="N115" i="6"/>
  <c r="N118" i="6" s="1"/>
  <c r="N117" i="6" s="1"/>
  <c r="O115" i="6"/>
  <c r="AT99" i="6"/>
  <c r="L115" i="6"/>
  <c r="L118" i="6" s="1"/>
  <c r="Q115" i="6"/>
  <c r="Q118" i="6" s="1"/>
  <c r="Q117" i="6" s="1"/>
  <c r="AQ102" i="6"/>
  <c r="AR102" i="6" s="1"/>
  <c r="AT109" i="6"/>
  <c r="AQ101" i="6"/>
  <c r="AR101" i="6" s="1"/>
  <c r="AS101" i="6" s="1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C116" i="6" l="1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AY99" i="6"/>
  <c r="F118" i="6"/>
  <c r="F117" i="6" s="1"/>
  <c r="G127" i="6"/>
  <c r="G116" i="6"/>
  <c r="AT103" i="6"/>
  <c r="AY103" i="6" s="1"/>
  <c r="E119" i="6"/>
  <c r="AZ23" i="6"/>
  <c r="D21" i="14" s="1"/>
  <c r="D13" i="14"/>
  <c r="E12" i="14"/>
  <c r="AZ77" i="6"/>
  <c r="G21" i="14" s="1"/>
  <c r="G13" i="14"/>
  <c r="E13" i="14"/>
  <c r="D12" i="14"/>
  <c r="F12" i="14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S102" i="6"/>
  <c r="AT102" i="6" s="1"/>
  <c r="AT101" i="6"/>
  <c r="X118" i="6"/>
  <c r="X117" i="6" s="1"/>
  <c r="X127" i="6"/>
  <c r="X116" i="6"/>
  <c r="L119" i="6"/>
  <c r="L117" i="6"/>
  <c r="L120" i="6"/>
  <c r="L121" i="6"/>
  <c r="AZ41" i="6"/>
  <c r="AZ59" i="6"/>
  <c r="F21" i="14" s="1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O127" i="6" l="1"/>
  <c r="M127" i="6"/>
  <c r="F121" i="6"/>
  <c r="H11" i="14"/>
  <c r="J118" i="6"/>
  <c r="F120" i="6"/>
  <c r="G120" i="6" s="1"/>
  <c r="H120" i="6" s="1"/>
  <c r="H121" i="6"/>
  <c r="I122" i="6"/>
  <c r="J122" i="6" s="1"/>
  <c r="AY102" i="6"/>
  <c r="F119" i="6"/>
  <c r="G119" i="6" s="1"/>
  <c r="H119" i="6" s="1"/>
  <c r="AY101" i="6"/>
  <c r="H12" i="14" s="1"/>
  <c r="J116" i="6"/>
  <c r="H10" i="14"/>
  <c r="F127" i="6"/>
  <c r="J127" i="6" s="1"/>
  <c r="G121" i="6"/>
  <c r="M120" i="6"/>
  <c r="O121" i="6"/>
  <c r="O119" i="6"/>
  <c r="N121" i="6"/>
  <c r="Q121" i="6"/>
  <c r="P121" i="6"/>
  <c r="N120" i="6"/>
  <c r="P120" i="6" s="1"/>
  <c r="Q120" i="6" s="1"/>
  <c r="M119" i="6"/>
  <c r="O120" i="6"/>
  <c r="N119" i="6"/>
  <c r="M121" i="6"/>
  <c r="R117" i="6"/>
  <c r="S117" i="6" s="1"/>
  <c r="J117" i="6"/>
  <c r="AI115" i="6"/>
  <c r="AI127" i="6" s="1"/>
  <c r="AA118" i="6"/>
  <c r="AA122" i="6" s="1"/>
  <c r="AB122" i="6" s="1"/>
  <c r="AA116" i="6"/>
  <c r="C19" i="14"/>
  <c r="C15" i="14"/>
  <c r="H14" i="14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P119" i="6" l="1"/>
  <c r="Q119" i="6" s="1"/>
  <c r="S127" i="6"/>
  <c r="J121" i="6"/>
  <c r="H13" i="14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S120" i="6"/>
  <c r="AI118" i="6"/>
  <c r="AI117" i="6" s="1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D127" i="6" s="1"/>
  <c r="AR115" i="6"/>
  <c r="AR118" i="6" s="1"/>
  <c r="AR117" i="6" s="1"/>
  <c r="AP115" i="6"/>
  <c r="AP118" i="6" s="1"/>
  <c r="AP117" i="6" s="1"/>
  <c r="C18" i="14"/>
  <c r="C17" i="14"/>
  <c r="P19" i="14"/>
  <c r="C8" i="14"/>
  <c r="D8" i="14" s="1"/>
  <c r="E8" i="14" s="1"/>
  <c r="F8" i="14" s="1"/>
  <c r="G8" i="14" s="1"/>
  <c r="H8" i="14" s="1"/>
  <c r="C16" i="14"/>
  <c r="P16" i="14" s="1"/>
  <c r="AH118" i="6"/>
  <c r="AH117" i="6" s="1"/>
  <c r="AB127" i="6"/>
  <c r="AJ127" i="6"/>
  <c r="AU113" i="6"/>
  <c r="B131" i="6" s="1"/>
  <c r="D133" i="6" s="1"/>
  <c r="AG116" i="6"/>
  <c r="C11" i="14"/>
  <c r="AJ116" i="6"/>
  <c r="C14" i="14"/>
  <c r="AE116" i="6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C133" i="6" l="1"/>
  <c r="C134" i="6" s="1"/>
  <c r="AQ116" i="6"/>
  <c r="AO116" i="6"/>
  <c r="AQ127" i="6"/>
  <c r="AM118" i="6"/>
  <c r="AO127" i="6"/>
  <c r="AN118" i="6"/>
  <c r="AN117" i="6" s="1"/>
  <c r="AP116" i="6"/>
  <c r="AW115" i="6"/>
  <c r="AW118" i="6" s="1"/>
  <c r="AW117" i="6" s="1"/>
  <c r="AM116" i="6"/>
  <c r="AN116" i="6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AS122" i="6"/>
  <c r="AT122" i="6" s="1"/>
  <c r="AY122" i="6" s="1"/>
  <c r="AS117" i="6"/>
  <c r="AY8" i="6"/>
  <c r="AT12" i="6"/>
  <c r="AB11" i="6"/>
  <c r="AY11" i="6" s="1"/>
  <c r="H130" i="6"/>
  <c r="C136" i="6" l="1"/>
  <c r="C137" i="6" s="1"/>
  <c r="C145" i="6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4"/>
  <c r="C9" i="14"/>
  <c r="I15" i="14"/>
  <c r="D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C139" i="6" l="1"/>
  <c r="E137" i="6"/>
  <c r="E139" i="6"/>
  <c r="D139" i="6"/>
  <c r="C135" i="6"/>
  <c r="C138" i="6"/>
  <c r="D138" i="6"/>
  <c r="E138" i="6"/>
  <c r="F145" i="6"/>
  <c r="AT127" i="6"/>
  <c r="AY116" i="6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G137" i="6" s="1"/>
  <c r="H137" i="6" s="1"/>
  <c r="M136" i="6"/>
  <c r="M135" i="6" s="1"/>
  <c r="F138" i="6"/>
  <c r="G138" i="6" s="1"/>
  <c r="H138" i="6" s="1"/>
  <c r="F139" i="6"/>
  <c r="G139" i="6"/>
  <c r="L134" i="6"/>
  <c r="L145" i="6"/>
  <c r="AC131" i="6"/>
  <c r="AH133" i="6" s="1"/>
  <c r="Q145" i="6"/>
  <c r="P134" i="6"/>
  <c r="P145" i="6"/>
  <c r="AZ5" i="6"/>
  <c r="C13" i="14"/>
  <c r="J135" i="6"/>
  <c r="Y136" i="6"/>
  <c r="Y135" i="6" s="1"/>
  <c r="Y134" i="6"/>
  <c r="L138" i="6"/>
  <c r="L135" i="6"/>
  <c r="L137" i="6"/>
  <c r="L139" i="6"/>
  <c r="Z145" i="6" l="1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1" i="14"/>
  <c r="J138" i="6"/>
  <c r="X145" i="6"/>
  <c r="AH134" i="6"/>
  <c r="AH136" i="6"/>
  <c r="AH135" i="6" s="1"/>
  <c r="Y145" i="6"/>
  <c r="V145" i="6"/>
  <c r="W145" i="6"/>
  <c r="P138" i="6" l="1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S145" i="6"/>
  <c r="AD139" i="6"/>
  <c r="AD138" i="6"/>
  <c r="AD135" i="6"/>
  <c r="AD137" i="6"/>
  <c r="AV133" i="6" l="1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AZ113" i="6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AH137" i="6"/>
  <c r="AI137" i="6" s="1"/>
  <c r="AK145" i="6"/>
  <c r="AT145" i="6"/>
  <c r="AY140" i="6"/>
  <c r="AP138" i="6"/>
  <c r="AR139" i="6"/>
  <c r="AQ139" i="6"/>
  <c r="AT134" i="6"/>
  <c r="AT136" i="6"/>
  <c r="AP139" i="6"/>
  <c r="AP137" i="6"/>
  <c r="AS139" i="6"/>
  <c r="AK139" i="6"/>
  <c r="BA59" i="6"/>
  <c r="E22" i="14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D152" i="6" l="1"/>
  <c r="AY134" i="6"/>
  <c r="J9" i="14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L163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AK138" i="6"/>
  <c r="J15" i="14"/>
  <c r="AK137" i="6"/>
  <c r="AY136" i="6"/>
  <c r="AT139" i="6"/>
  <c r="AY135" i="6"/>
  <c r="BA77" i="6"/>
  <c r="F22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O154" i="6" l="1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11" i="14"/>
  <c r="AY139" i="6"/>
  <c r="J10" i="14"/>
  <c r="BA95" i="6"/>
  <c r="G22" i="14"/>
  <c r="AY138" i="6"/>
  <c r="J13" i="14" s="1"/>
  <c r="N163" i="6"/>
  <c r="P163" i="6"/>
  <c r="U154" i="6"/>
  <c r="U163" i="6" s="1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J8" i="14" l="1"/>
  <c r="G155" i="6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AZ131" i="6"/>
  <c r="J21" i="14" s="1"/>
  <c r="J12" i="14"/>
  <c r="H22" i="14"/>
  <c r="BA113" i="6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52" i="6"/>
  <c r="AE152" i="6"/>
  <c r="AE163" i="6"/>
  <c r="AE154" i="6"/>
  <c r="AE153" i="6" s="1"/>
  <c r="AF154" i="6"/>
  <c r="AF153" i="6" s="1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AG163" i="6" l="1"/>
  <c r="AF163" i="6"/>
  <c r="J155" i="6"/>
  <c r="S155" i="6"/>
  <c r="S157" i="6"/>
  <c r="AB163" i="6"/>
  <c r="Y155" i="6"/>
  <c r="Z155" i="6" s="1"/>
  <c r="AB155" i="6" s="1"/>
  <c r="Y156" i="6"/>
  <c r="Z156" i="6" s="1"/>
  <c r="I22" i="14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K163" i="6" l="1"/>
  <c r="AB156" i="6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Y163" i="6" l="1"/>
  <c r="K20" i="14" s="1"/>
  <c r="AQ155" i="6"/>
  <c r="AR155" i="6" s="1"/>
  <c r="AS155" i="6" s="1"/>
  <c r="AQ156" i="6"/>
  <c r="AR156" i="6" s="1"/>
  <c r="AS156" i="6" s="1"/>
  <c r="AT156" i="6" s="1"/>
  <c r="AY156" i="6" s="1"/>
  <c r="K13" i="14" s="1"/>
  <c r="K15" i="14"/>
  <c r="K11" i="14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 s="1"/>
  <c r="L170" i="6"/>
  <c r="P172" i="6"/>
  <c r="P171" i="6" s="1"/>
  <c r="P170" i="6"/>
  <c r="R172" i="6"/>
  <c r="R181" i="6"/>
  <c r="R170" i="6"/>
  <c r="F181" i="6"/>
  <c r="AT155" i="6" l="1"/>
  <c r="AY155" i="6" s="1"/>
  <c r="J181" i="6"/>
  <c r="P181" i="6"/>
  <c r="M181" i="6"/>
  <c r="O181" i="6"/>
  <c r="N181" i="6"/>
  <c r="G173" i="6"/>
  <c r="H173" i="6" s="1"/>
  <c r="J173" i="6" s="1"/>
  <c r="K8" i="14"/>
  <c r="K14" i="14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 s="1"/>
  <c r="U170" i="6"/>
  <c r="Y172" i="6"/>
  <c r="Y171" i="6" s="1"/>
  <c r="Y170" i="6"/>
  <c r="AZ149" i="6"/>
  <c r="K21" i="14" s="1"/>
  <c r="Z172" i="6"/>
  <c r="Z171" i="6" s="1"/>
  <c r="Z170" i="6"/>
  <c r="Z181" i="6"/>
  <c r="X170" i="6"/>
  <c r="X172" i="6"/>
  <c r="X171" i="6" s="1"/>
  <c r="S170" i="6"/>
  <c r="AA172" i="6"/>
  <c r="AA181" i="6"/>
  <c r="AA170" i="6"/>
  <c r="W181" i="6" l="1"/>
  <c r="X181" i="6"/>
  <c r="Y181" i="6"/>
  <c r="P173" i="6"/>
  <c r="Q173" i="6" s="1"/>
  <c r="P174" i="6"/>
  <c r="Q174" i="6" s="1"/>
  <c r="S174" i="6" s="1"/>
  <c r="S181" i="6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AB181" i="6" l="1"/>
  <c r="S173" i="6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J190" i="6"/>
  <c r="I189" i="6"/>
  <c r="I194" i="6"/>
  <c r="J194" i="6" s="1"/>
  <c r="O190" i="6"/>
  <c r="O189" i="6" s="1"/>
  <c r="O188" i="6"/>
  <c r="AR173" i="6"/>
  <c r="M190" i="6"/>
  <c r="M189" i="6" s="1"/>
  <c r="M199" i="6"/>
  <c r="M188" i="6"/>
  <c r="L190" i="6"/>
  <c r="L199" i="6" s="1"/>
  <c r="L188" i="6"/>
  <c r="AQ174" i="6"/>
  <c r="AR174" i="6" s="1"/>
  <c r="R190" i="6"/>
  <c r="R199" i="6"/>
  <c r="R188" i="6"/>
  <c r="P199" i="6" l="1"/>
  <c r="O199" i="6"/>
  <c r="H192" i="6"/>
  <c r="J192" i="6" s="1"/>
  <c r="G191" i="6"/>
  <c r="H191" i="6" s="1"/>
  <c r="J191" i="6" s="1"/>
  <c r="J199" i="6"/>
  <c r="AX181" i="6"/>
  <c r="AY181" i="6" s="1"/>
  <c r="AX174" i="6"/>
  <c r="AX173" i="6"/>
  <c r="AY175" i="6"/>
  <c r="L10" i="14"/>
  <c r="L11" i="14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S199" i="6" l="1"/>
  <c r="AY174" i="6"/>
  <c r="L13" i="14" s="1"/>
  <c r="AY173" i="6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AZ167" i="6" l="1"/>
  <c r="L21" i="14" s="1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AB191" i="6"/>
  <c r="AP199" i="6"/>
  <c r="AQ199" i="6"/>
  <c r="AO199" i="6"/>
  <c r="AN199" i="6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AQ191" i="6" l="1"/>
  <c r="AR191" i="6" s="1"/>
  <c r="AS191" i="6" s="1"/>
  <c r="AQ192" i="6"/>
  <c r="AR192" i="6" s="1"/>
  <c r="AT199" i="6"/>
  <c r="AY199" i="6" s="1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08" i="6"/>
  <c r="F207" i="6" s="1"/>
  <c r="H208" i="6"/>
  <c r="H207" i="6" s="1"/>
  <c r="H217" i="6"/>
  <c r="H206" i="6"/>
  <c r="AT189" i="6"/>
  <c r="I208" i="6"/>
  <c r="I206" i="6"/>
  <c r="I217" i="6"/>
  <c r="F217" i="6" l="1"/>
  <c r="M20" i="14"/>
  <c r="M8" i="14" s="1"/>
  <c r="AS192" i="6"/>
  <c r="AT192" i="6" s="1"/>
  <c r="AT191" i="6"/>
  <c r="M9" i="14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AY192" i="6" l="1"/>
  <c r="M13" i="14" s="1"/>
  <c r="AY191" i="6"/>
  <c r="M10" i="14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17" i="6" s="1"/>
  <c r="AD206" i="6"/>
  <c r="BA185" i="6" l="1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06" i="6"/>
  <c r="AN208" i="6"/>
  <c r="AN207" i="6" s="1"/>
  <c r="AN206" i="6"/>
  <c r="AM208" i="6"/>
  <c r="AM217" i="6" s="1"/>
  <c r="AM206" i="6"/>
  <c r="AJ207" i="6"/>
  <c r="AJ212" i="6"/>
  <c r="AK212" i="6" s="1"/>
  <c r="AQ217" i="6" l="1"/>
  <c r="AO217" i="6"/>
  <c r="AN217" i="6"/>
  <c r="M22" i="14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T217" i="6" l="1"/>
  <c r="AV211" i="6"/>
  <c r="AX217" i="6"/>
  <c r="AV210" i="6"/>
  <c r="AV209" i="6"/>
  <c r="AW209" i="6"/>
  <c r="AK209" i="6"/>
  <c r="AW211" i="6"/>
  <c r="AX208" i="6"/>
  <c r="AY208" i="6" s="1"/>
  <c r="N15" i="14"/>
  <c r="AX207" i="6"/>
  <c r="AQ209" i="6"/>
  <c r="AR209" i="6" s="1"/>
  <c r="AS209" i="6" s="1"/>
  <c r="AT207" i="6"/>
  <c r="AW210" i="6"/>
  <c r="AY206" i="6"/>
  <c r="AQ210" i="6"/>
  <c r="AR210" i="6" s="1"/>
  <c r="AT211" i="6"/>
  <c r="P15" i="14" l="1"/>
  <c r="AY217" i="6"/>
  <c r="N20" i="14" s="1"/>
  <c r="AX211" i="6"/>
  <c r="AY211" i="6" s="1"/>
  <c r="AX210" i="6"/>
  <c r="AX209" i="6"/>
  <c r="AY207" i="6"/>
  <c r="N9" i="14"/>
  <c r="N11" i="14"/>
  <c r="AT209" i="6"/>
  <c r="AS210" i="6"/>
  <c r="AT210" i="6" s="1"/>
  <c r="P9" i="14" l="1"/>
  <c r="P11" i="14"/>
  <c r="AY210" i="6"/>
  <c r="N13" i="14" s="1"/>
  <c r="AY209" i="6"/>
  <c r="N12" i="14" s="1"/>
  <c r="N10" i="14"/>
  <c r="N14" i="14"/>
  <c r="P20" i="14"/>
  <c r="N8" i="14"/>
  <c r="P8" i="14" s="1"/>
  <c r="P10" i="14" l="1"/>
  <c r="P12" i="14"/>
  <c r="P14" i="14"/>
  <c r="P13" i="14"/>
  <c r="AZ203" i="6"/>
  <c r="BA203" i="6" s="1"/>
  <c r="N21" i="14" l="1"/>
  <c r="N22" i="14"/>
  <c r="P22" i="14" l="1"/>
</calcChain>
</file>

<file path=xl/sharedStrings.xml><?xml version="1.0" encoding="utf-8"?>
<sst xmlns="http://schemas.openxmlformats.org/spreadsheetml/2006/main" count="461" uniqueCount="84">
  <si>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</si>
  <si>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</si>
  <si>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</si>
  <si>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</si>
  <si>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</si>
  <si>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</si>
  <si>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</si>
  <si>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</si>
  <si>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</si>
  <si>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</si>
  <si>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</si>
  <si>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</si>
  <si>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</si>
  <si>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</si>
  <si>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</si>
  <si>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</si>
  <si>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</si>
  <si>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</si>
  <si>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</si>
  <si>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</si>
  <si>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</si>
  <si>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</si>
  <si>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</si>
  <si>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</si>
  <si>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</si>
  <si>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</si>
  <si>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</si>
  <si>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</si>
  <si>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</si>
  <si>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</si>
  <si>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</si>
  <si>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</si>
  <si>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</si>
  <si>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</si>
  <si>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</si>
  <si>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</si>
  <si>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</si>
  <si>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</si>
  <si>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</si>
  <si>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</si>
  <si>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</si>
  <si>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</si>
  <si>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</si>
  <si>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</si>
  <si>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</si>
  <si>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</si>
  <si>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</si>
  <si>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</si>
  <si>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</si>
  <si>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</si>
  <si>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</si>
  <si>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</si>
  <si>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</si>
  <si>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</si>
  <si>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</si>
  <si>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</si>
  <si>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</si>
  <si>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</si>
  <si>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</si>
  <si>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</si>
  <si>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</si>
  <si>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</si>
  <si>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</si>
  <si>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</si>
  <si>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</si>
  <si>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</si>
  <si>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</si>
  <si>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</si>
  <si>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</si>
  <si>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</si>
  <si>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</si>
  <si>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</si>
  <si>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</si>
  <si>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</si>
  <si>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</si>
  <si>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</si>
  <si>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</si>
  <si>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</si>
  <si>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</si>
  <si>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</si>
  <si>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c2</t>
  </si>
  <si>
    <t xml:space="preserve">Paie du mois de </t>
  </si>
  <si>
    <t>JANVIER</t>
  </si>
  <si>
    <t>INDEX(Synthése!$C$9:$N$22;EQUIV(A3;Synthése!$A$9:$A$22;0);EQUIV($B$1;Janv;0))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</si>
</sst>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mmmm"/>
  </numFmts>
  <fonts count="15" x14ac:knownFonts="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</cellStyleXfs>
  <cellXfs count="75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49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textRotation="45"/>
    </xf>
    <xf numFmtId="0" fontId="12" fillId="7" borderId="0" xfId="2" applyFont="1" applyFill="1" applyBorder="1" applyAlignment="1">
      <alignment horizontal="center" vertical="center" wrapText="1"/>
    </xf>
  </cellXfs>
  <cellStyles count="6">
    <cellStyle name="40% - Accent1 2" xfId="3"/>
    <cellStyle name="Accent1 2" xfId="2"/>
    <cellStyle name="Heading 1 2" xfId="4"/>
    <cellStyle name="Normal" xfId="0" builtinId="0" customBuiltin="1"/>
    <cellStyle name="Normal 2" xfId="1"/>
    <cellStyle name="Normal 3" xfId="5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M7" sqref="M7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2016</v>
      </c>
      <c r="C1" s="4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4" t="s">
        <v>45</v>
      </c>
      <c r="BA2" s="74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4"/>
      <c r="BA3" s="74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71">
        <f>Année_Calendaire</f>
        <v>2016</v>
      </c>
      <c r="I4" s="71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71">
        <f>Année_Calendaire</f>
        <v>2016</v>
      </c>
      <c r="AA4" s="71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71">
        <f>Année_Calendaire</f>
        <v>2016</v>
      </c>
      <c r="AS4" s="71"/>
      <c r="AT4" s="38"/>
      <c r="AU4" s="45"/>
      <c r="AV4" s="22"/>
      <c r="AW4" s="22"/>
      <c r="AY4" s="64" t="s">
        <v>82</v>
      </c>
      <c r="AZ4" s="19"/>
      <c r="BA4" s="19"/>
      <c r="BB4" s="19"/>
      <c r="BC4" s="19"/>
      <c r="BD4" s="72"/>
      <c r="BE4" s="72"/>
      <c r="BF4" s="42"/>
    </row>
    <row r="5" spans="1:59" s="23" customFormat="1" ht="29.25" customHeight="1" x14ac:dyDescent="0.25">
      <c r="A5" s="36"/>
      <c r="B5" s="55" t="s">
        <v>80</v>
      </c>
      <c r="C5" s="53" t="str">
        <f>IF(C6&lt;&gt;"","Lun","")</f>
        <v/>
      </c>
      <c r="D5" s="53" t="str">
        <f>IF(D6&lt;&gt;"","Mar","")</f>
        <v/>
      </c>
      <c r="E5" s="53" t="str">
        <f>IF(E6&lt;&gt;"","Mer","")</f>
        <v/>
      </c>
      <c r="F5" s="53" t="str">
        <f>IF(F6&lt;&gt;"","Jeu","")</f>
        <v/>
      </c>
      <c r="G5" s="53" t="str">
        <f>IF(G6&lt;&gt;"","Ven","")</f>
        <v>Ven</v>
      </c>
      <c r="H5" s="53" t="str">
        <f>IF(H6&lt;&gt;"","Sam","")</f>
        <v>Sam</v>
      </c>
      <c r="I5" s="53" t="str">
        <f>IF(I6&lt;&gt;"","Dim","")</f>
        <v>Dim</v>
      </c>
      <c r="J5" s="73" t="s">
        <v>32</v>
      </c>
      <c r="K5" s="55" t="str">
        <f>IF(B5="C1","C2",IF(B5="C2","C3",IF(B5="C3","C4",IF(B5="C4","C1",""))))</f>
        <v>C3</v>
      </c>
      <c r="L5" s="53" t="str">
        <f>IF(L6&lt;&gt;"","Lun","")</f>
        <v>Lun</v>
      </c>
      <c r="M5" s="53" t="str">
        <f>IF(M6&lt;&gt;"","Mar","")</f>
        <v>Mar</v>
      </c>
      <c r="N5" s="53" t="str">
        <f>IF(N6&lt;&gt;"","Mer","")</f>
        <v>Mer</v>
      </c>
      <c r="O5" s="53" t="str">
        <f>IF(O6&lt;&gt;"","Jeu","")</f>
        <v>Jeu</v>
      </c>
      <c r="P5" s="53" t="str">
        <f>IF(P6&lt;&gt;"","Ven","")</f>
        <v>Ven</v>
      </c>
      <c r="Q5" s="53" t="str">
        <f>IF(Q6&lt;&gt;"","Sam","")</f>
        <v>Sam</v>
      </c>
      <c r="R5" s="53" t="str">
        <f>IF(R6&lt;&gt;"","Dim","")</f>
        <v>Dim</v>
      </c>
      <c r="S5" s="73" t="s">
        <v>32</v>
      </c>
      <c r="T5" s="55" t="str">
        <f>IF(B5="C1","C2",IF(B5="C2","C3",IF(B5="C3","C4",IF(B5="C4","C1",""))))</f>
        <v>C3</v>
      </c>
      <c r="U5" s="53" t="str">
        <f>IF(U6&lt;&gt;"","Lun","")</f>
        <v>Lun</v>
      </c>
      <c r="V5" s="53" t="str">
        <f>IF(V6&lt;&gt;"","Mar","")</f>
        <v>Mar</v>
      </c>
      <c r="W5" s="53" t="str">
        <f>IF(W6&lt;&gt;"","Mer","")</f>
        <v>Mer</v>
      </c>
      <c r="X5" s="53" t="str">
        <f>IF(X6&lt;&gt;"","Jeu","")</f>
        <v>Jeu</v>
      </c>
      <c r="Y5" s="53" t="str">
        <f>IF(Y6&lt;&gt;"","Ven","")</f>
        <v>Ven</v>
      </c>
      <c r="Z5" s="53" t="str">
        <f>IF(Z6&lt;&gt;"","Sam","")</f>
        <v>Sam</v>
      </c>
      <c r="AA5" s="53" t="str">
        <f>IF(AA6&lt;&gt;"","Dim","")</f>
        <v>Dim</v>
      </c>
      <c r="AB5" s="73" t="s">
        <v>32</v>
      </c>
      <c r="AC5" s="55" t="str">
        <f>IF(T5="C1","C2",IF(T5="C2","C3",IF(T5="C3","C4",IF(T5="C4","C1",""))))</f>
        <v>C4</v>
      </c>
      <c r="AD5" s="53" t="str">
        <f>IF(AD6&lt;&gt;"","Lun","")</f>
        <v>Lun</v>
      </c>
      <c r="AE5" s="53" t="str">
        <f>IF(AE6&lt;&gt;"","Mar","")</f>
        <v>Mar</v>
      </c>
      <c r="AF5" s="53" t="str">
        <f>IF(AF6&lt;&gt;"","Mer","")</f>
        <v>Mer</v>
      </c>
      <c r="AG5" s="53" t="str">
        <f>IF(AG6&lt;&gt;"","Jeu","")</f>
        <v>Jeu</v>
      </c>
      <c r="AH5" s="53" t="str">
        <f>IF(AH6&lt;&gt;"","Ven","")</f>
        <v>Ven</v>
      </c>
      <c r="AI5" s="53" t="str">
        <f>IF(AI6&lt;&gt;"","Sam","")</f>
        <v>Sam</v>
      </c>
      <c r="AJ5" s="53" t="str">
        <f>IF(AJ6&lt;&gt;"","Dim","")</f>
        <v>Dim</v>
      </c>
      <c r="AK5" s="73" t="s">
        <v>32</v>
      </c>
      <c r="AL5" s="55" t="str">
        <f>IF(AC5="C1","C2",IF(AC5="C2","C3",IF(AC5="C3","C4",IF(AC5="C4","C1",""))))</f>
        <v>C1</v>
      </c>
      <c r="AM5" s="53" t="str">
        <f>IF(AM6&lt;&gt;"","Lun","")</f>
        <v>Lun</v>
      </c>
      <c r="AN5" s="53" t="str">
        <f>IF(AN6&lt;&gt;"","Mar","")</f>
        <v>Mar</v>
      </c>
      <c r="AO5" s="53" t="str">
        <f>IF(AO6&lt;&gt;"","Mer","")</f>
        <v>Mer</v>
      </c>
      <c r="AP5" s="53" t="str">
        <f>IF(AP6&lt;&gt;"","Jeu","")</f>
        <v>Jeu</v>
      </c>
      <c r="AQ5" s="53" t="str">
        <f>IF(AQ6&lt;&gt;"","Ven","")</f>
        <v>Ven</v>
      </c>
      <c r="AR5" s="53" t="str">
        <f>IF(AR6&lt;&gt;"","Sam","")</f>
        <v>Sam</v>
      </c>
      <c r="AS5" s="53" t="str">
        <f>IF(AS6&lt;&gt;"","Dim","")</f>
        <v>Dim</v>
      </c>
      <c r="AT5" s="73" t="s">
        <v>32</v>
      </c>
      <c r="AU5" s="55" t="str">
        <f>IF(AV5&lt;&gt;"",IF(AL5="C1","C2",IF(AL5="C2","C3",IF(AL5="C3","C4",IF(AL5="C4","C1","")))),"")</f>
        <v/>
      </c>
      <c r="AV5" s="53" t="str">
        <f>IF(AV6&lt;&gt;"","Lun","")</f>
        <v/>
      </c>
      <c r="AW5" s="53" t="str">
        <f>IF(AW6&lt;&gt;"","Mar","")</f>
        <v/>
      </c>
      <c r="AX5" s="73" t="s">
        <v>32</v>
      </c>
      <c r="AY5" s="73" t="s">
        <v>35</v>
      </c>
      <c r="AZ5" s="74">
        <f>AY12+AY13+AY14</f>
        <v>5</v>
      </c>
      <c r="BA5" s="74">
        <f>AZ5</f>
        <v>5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54"/>
      <c r="C6" s="54" t="str">
        <f>IF(DAY(Jan_Dim1)=1,"",IF(AND(YEAR(Jan_Dim1+1)=Année_Calendaire,MONTH(Jan_Dim1+1)=1),Jan_Dim1+1,""))</f>
        <v/>
      </c>
      <c r="D6" s="54" t="str">
        <f>IF(DAY(Jan_Dim1)=1,"",IF(AND(YEAR(Jan_Dim1+2)=Année_Calendaire,MONTH(Jan_Dim1+2)=1),Jan_Dim1+2,""))</f>
        <v/>
      </c>
      <c r="E6" s="54" t="str">
        <f>IF(DAY(Jan_Dim1)=1,"",IF(AND(YEAR(Jan_Dim1+3)=Année_Calendaire,MONTH(Jan_Dim1+3)=1),Jan_Dim1+3,""))</f>
        <v/>
      </c>
      <c r="F6" s="54" t="str">
        <f>IF(DAY(Jan_Dim1)=1,"",IF(AND(YEAR(Jan_Dim1+4)=Année_Calendaire,MONTH(Jan_Dim1+4)=1),Jan_Dim1+4,""))</f>
        <v/>
      </c>
      <c r="G6" s="54">
        <f>IF(DAY(Jan_Dim1)=1,"",IF(AND(YEAR(Jan_Dim1+5)=Année_Calendaire,MONTH(Jan_Dim1+5)=1),Jan_Dim1+5,""))</f>
        <v>42370</v>
      </c>
      <c r="H6" s="54">
        <f>IF(DAY(Jan_Dim1)=1,"",IF(AND(YEAR(Jan_Dim1+6)=Année_Calendaire,MONTH(Jan_Dim1+6)=1),Jan_Dim1+6,""))</f>
        <v>42371</v>
      </c>
      <c r="I6" s="54">
        <f>IF(DAY(Jan_Dim1)=1,IF(AND(YEAR(Jan_Dim1)=Année_Calendaire,MONTH(Jan_Dim1)=1),Jan_Dim1,""),IF(AND(YEAR(Jan_Dim1+7)=Année_Calendaire,MONTH(Jan_Dim1+7)=1),Jan_Dim1+7,""))</f>
        <v>42372</v>
      </c>
      <c r="J6" s="73"/>
      <c r="K6" s="54"/>
      <c r="L6" s="54">
        <f>IF(DAY(Jan_Dim1)=1,IF(AND(YEAR(Jan_Dim1+1)=Année_Calendaire,MONTH(Jan_Dim1+1)=1),Jan_Dim1+1,""),IF(AND(YEAR(Jan_Dim1+8)=Année_Calendaire,MONTH(Jan_Dim1+8)=1),Jan_Dim1+8,""))</f>
        <v>42373</v>
      </c>
      <c r="M6" s="54">
        <f>IF(DAY(Jan_Dim1)=1,IF(AND(YEAR(Jan_Dim1+2)=Année_Calendaire,MONTH(Jan_Dim1+2)=1),Jan_Dim1+2,""),IF(AND(YEAR(Jan_Dim1+9)=Année_Calendaire,MONTH(Jan_Dim1+9)=1),Jan_Dim1+9,""))</f>
        <v>42374</v>
      </c>
      <c r="N6" s="54">
        <f>IF(DAY(Jan_Dim1)=1,IF(AND(YEAR(Jan_Dim1+3)=Année_Calendaire,MONTH(Jan_Dim1+3)=1),Jan_Dim1+3,""),IF(AND(YEAR(Jan_Dim1+10)=Année_Calendaire,MONTH(Jan_Dim1+10)=1),Jan_Dim1+10,""))</f>
        <v>42375</v>
      </c>
      <c r="O6" s="54">
        <f>IF(DAY(Jan_Dim1)=1,IF(AND(YEAR(Jan_Dim1+4)=Année_Calendaire,MONTH(Jan_Dim1+4)=1),Jan_Dim1+4,""),IF(AND(YEAR(Jan_Dim1+11)=Année_Calendaire,MONTH(Jan_Dim1+11)=1),Jan_Dim1+11,""))</f>
        <v>42376</v>
      </c>
      <c r="P6" s="54">
        <f>IF(DAY(Jan_Dim1)=1,IF(AND(YEAR(Jan_Dim1+5)=Année_Calendaire,MONTH(Jan_Dim1+5)=1),Jan_Dim1+5,""),IF(AND(YEAR(Jan_Dim1+12)=Année_Calendaire,MONTH(Jan_Dim1+12)=1),Jan_Dim1+12,""))</f>
        <v>42377</v>
      </c>
      <c r="Q6" s="54">
        <f>IF(DAY(Jan_Dim1)=1,IF(AND(YEAR(Jan_Dim1+6)=Année_Calendaire,MONTH(Jan_Dim1+6)=1),Jan_Dim1+6,""),IF(AND(YEAR(Jan_Dim1+13)=Année_Calendaire,MONTH(Jan_Dim1+13)=1),Jan_Dim1+13,""))</f>
        <v>42378</v>
      </c>
      <c r="R6" s="54">
        <f>IF(DAY(Jan_Dim1)=1,IF(AND(YEAR(Jan_Dim1+7)=Année_Calendaire,MONTH(Jan_Dim1+7)=1),Jan_Dim1+7,""),IF(AND(YEAR(Jan_Dim1+14)=Année_Calendaire,MONTH(Jan_Dim1+14)=1),Jan_Dim1+14,""))</f>
        <v>42379</v>
      </c>
      <c r="S6" s="73"/>
      <c r="T6" s="54"/>
      <c r="U6" s="54">
        <f>IF(DAY(Jan_Dim1)=1,IF(AND(YEAR(Jan_Dim1+8)=Année_Calendaire,MONTH(Jan_Dim1+8)=1),Jan_Dim1+8,""),IF(AND(YEAR(Jan_Dim1+15)=Année_Calendaire,MONTH(Jan_Dim1+15)=1),Jan_Dim1+15,""))</f>
        <v>42380</v>
      </c>
      <c r="V6" s="54">
        <f>IF(DAY(Jan_Dim1)=1,IF(AND(YEAR(Jan_Dim1+9)=Année_Calendaire,MONTH(Jan_Dim1+9)=1),Jan_Dim1+9,""),IF(AND(YEAR(Jan_Dim1+16)=Année_Calendaire,MONTH(Jan_Dim1+16)=1),Jan_Dim1+16,""))</f>
        <v>42381</v>
      </c>
      <c r="W6" s="54">
        <f>IF(DAY(Jan_Dim1)=1,IF(AND(YEAR(Jan_Dim1+10)=Année_Calendaire,MONTH(Jan_Dim1+10)=1),Jan_Dim1+10,""),IF(AND(YEAR(Jan_Dim1+17)=Année_Calendaire,MONTH(Jan_Dim1+17)=1),Jan_Dim1+17,""))</f>
        <v>42382</v>
      </c>
      <c r="X6" s="54">
        <f>IF(DAY(Jan_Dim1)=1,IF(AND(YEAR(Jan_Dim1+11)=Année_Calendaire,MONTH(Jan_Dim1+11)=1),Jan_Dim1+11,""),IF(AND(YEAR(Jan_Dim1+18)=Année_Calendaire,MONTH(Jan_Dim1+18)=1),Jan_Dim1+18,""))</f>
        <v>42383</v>
      </c>
      <c r="Y6" s="54">
        <f>IF(DAY(Jan_Dim1)=1,IF(AND(YEAR(Jan_Dim1+12)=Année_Calendaire,MONTH(Jan_Dim1+12)=1),Jan_Dim1+12,""),IF(AND(YEAR(Jan_Dim1+19)=Année_Calendaire,MONTH(Jan_Dim1+19)=1),Jan_Dim1+19,""))</f>
        <v>42384</v>
      </c>
      <c r="Z6" s="54">
        <f>IF(DAY(Jan_Dim1)=1,IF(AND(YEAR(Jan_Dim1+13)=Année_Calendaire,MONTH(Jan_Dim1+13)=1),Jan_Dim1+13,""),IF(AND(YEAR(Jan_Dim1+20)=Année_Calendaire,MONTH(Jan_Dim1+20)=1),Jan_Dim1+20,""))</f>
        <v>42385</v>
      </c>
      <c r="AA6" s="54">
        <f>IF(DAY(Jan_Dim1)=1,IF(AND(YEAR(Jan_Dim1+14)=Année_Calendaire,MONTH(Jan_Dim1+14)=1),Jan_Dim1+14,""),IF(AND(YEAR(Jan_Dim1+21)=Année_Calendaire,MONTH(Jan_Dim1+21)=1),Jan_Dim1+21,""))</f>
        <v>42386</v>
      </c>
      <c r="AB6" s="73"/>
      <c r="AC6" s="54"/>
      <c r="AD6" s="54">
        <f>IF(DAY(Jan_Dim1)=1,IF(AND(YEAR(Jan_Dim1+15)=Année_Calendaire,MONTH(Jan_Dim1+15)=1),Jan_Dim1+15,""),IF(AND(YEAR(Jan_Dim1+22)=Année_Calendaire,MONTH(Jan_Dim1+22)=1),Jan_Dim1+22,""))</f>
        <v>42387</v>
      </c>
      <c r="AE6" s="54">
        <f>IF(DAY(Jan_Dim1)=1,IF(AND(YEAR(Jan_Dim1+16)=Année_Calendaire,MONTH(Jan_Dim1+16)=1),Jan_Dim1+16,""),IF(AND(YEAR(Jan_Dim1+23)=Année_Calendaire,MONTH(Jan_Dim1+23)=1),Jan_Dim1+23,""))</f>
        <v>42388</v>
      </c>
      <c r="AF6" s="54">
        <f>IF(DAY(Jan_Dim1)=1,IF(AND(YEAR(Jan_Dim1+17)=Année_Calendaire,MONTH(Jan_Dim1+17)=1),Jan_Dim1+17,""),IF(AND(YEAR(Jan_Dim1+24)=Année_Calendaire,MONTH(Jan_Dim1+24)=1),Jan_Dim1+24,""))</f>
        <v>42389</v>
      </c>
      <c r="AG6" s="54">
        <f>IF(DAY(Jan_Dim1)=1,IF(AND(YEAR(Jan_Dim1+18)=Année_Calendaire,MONTH(Jan_Dim1+18)=1),Jan_Dim1+18,""),IF(AND(YEAR(Jan_Dim1+25)=Année_Calendaire,MONTH(Jan_Dim1+25)=1),Jan_Dim1+25,""))</f>
        <v>42390</v>
      </c>
      <c r="AH6" s="54">
        <f>IF(DAY(Jan_Dim1)=1,IF(AND(YEAR(Jan_Dim1+19)=Année_Calendaire,MONTH(Jan_Dim1+19)=1),Jan_Dim1+19,""),IF(AND(YEAR(Jan_Dim1+26)=Année_Calendaire,MONTH(Jan_Dim1+26)=1),Jan_Dim1+26,""))</f>
        <v>42391</v>
      </c>
      <c r="AI6" s="54">
        <f>IF(DAY(Jan_Dim1)=1,IF(AND(YEAR(Jan_Dim1+20)=Année_Calendaire,MONTH(Jan_Dim1+20)=1),Jan_Dim1+20,""),IF(AND(YEAR(Jan_Dim1+27)=Année_Calendaire,MONTH(Jan_Dim1+27)=1),Jan_Dim1+27,""))</f>
        <v>42392</v>
      </c>
      <c r="AJ6" s="54">
        <f>IF(DAY(Jan_Dim1)=1,IF(AND(YEAR(Jan_Dim1+21)=Année_Calendaire,MONTH(Jan_Dim1+21)=1),Jan_Dim1+21,""),IF(AND(YEAR(Jan_Dim1+28)=Année_Calendaire,MONTH(Jan_Dim1+28)=1),Jan_Dim1+28,""))</f>
        <v>42393</v>
      </c>
      <c r="AK6" s="73"/>
      <c r="AL6" s="54"/>
      <c r="AM6" s="54">
        <f>IF(DAY(Jan_Dim1)=1,IF(AND(YEAR(Jan_Dim1+22)=Année_Calendaire,MONTH(Jan_Dim1+22)=1),Jan_Dim1+22,""),IF(AND(YEAR(Jan_Dim1+29)=Année_Calendaire,MONTH(Jan_Dim1+29)=1),Jan_Dim1+29,""))</f>
        <v>42394</v>
      </c>
      <c r="AN6" s="54">
        <f>IF(DAY(Jan_Dim1)=1,IF(AND(YEAR(Jan_Dim1+23)=Année_Calendaire,MONTH(Jan_Dim1+23)=1),Jan_Dim1+23,""),IF(AND(YEAR(Jan_Dim1+30)=Année_Calendaire,MONTH(Jan_Dim1+30)=1),Jan_Dim1+30,""))</f>
        <v>42395</v>
      </c>
      <c r="AO6" s="54">
        <f>IF(DAY(Jan_Dim1)=1,IF(AND(YEAR(Jan_Dim1+24)=Année_Calendaire,MONTH(Jan_Dim1+24)=1),Jan_Dim1+24,""),IF(AND(YEAR(Jan_Dim1+31)=Année_Calendaire,MONTH(Jan_Dim1+31)=1),Jan_Dim1+31,""))</f>
        <v>42396</v>
      </c>
      <c r="AP6" s="54">
        <f>IF(DAY(Jan_Dim1)=1,IF(AND(YEAR(Jan_Dim1+25)=Année_Calendaire,MONTH(Jan_Dim1+25)=1),Jan_Dim1+25,""),IF(AND(YEAR(Jan_Dim1+32)=Année_Calendaire,MONTH(Jan_Dim1+32)=1),Jan_Dim1+32,""))</f>
        <v>42397</v>
      </c>
      <c r="AQ6" s="54">
        <f>IF(DAY(Jan_Dim1)=1,IF(AND(YEAR(Jan_Dim1+26)=Année_Calendaire,MONTH(Jan_Dim1+26)=1),Jan_Dim1+26,""),IF(AND(YEAR(Jan_Dim1+33)=Année_Calendaire,MONTH(Jan_Dim1+33)=1),Jan_Dim1+33,""))</f>
        <v>42398</v>
      </c>
      <c r="AR6" s="54">
        <f>IF(DAY(Jan_Dim1)=1,IF(AND(YEAR(Jan_Dim1+27)=Année_Calendaire,MONTH(Jan_Dim1+27)=1),Jan_Dim1+27,""),IF(AND(YEAR(Jan_Dim1+34)=Année_Calendaire,MONTH(Jan_Dim1+34)=1),Jan_Dim1+34,""))</f>
        <v>42399</v>
      </c>
      <c r="AS6" s="54">
        <f>IF(DAY(Jan_Dim1)=1,IF(AND(YEAR(Jan_Dim1+28)=Année_Calendaire,MONTH(Jan_Dim1+28)=1),Jan_Dim1+28,""),IF(AND(YEAR(Jan_Dim1+35)=Année_Calendaire,MONTH(Jan_Dim1+35)=1),Jan_Dim1+35,""))</f>
        <v>42400</v>
      </c>
      <c r="AT6" s="73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73"/>
      <c r="AY6" s="73"/>
      <c r="AZ6" s="74"/>
      <c r="BA6" s="74"/>
      <c r="BB6" s="32"/>
      <c r="BC6" s="32"/>
      <c r="BD6" s="32"/>
      <c r="BE6" s="32"/>
      <c r="BF6" s="24"/>
    </row>
    <row r="7" spans="1:59" s="5" customFormat="1" ht="15" customHeight="1" x14ac:dyDescent="0.25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 t="str">
        <f>IF(E6="","",IFERROR(VLOOKUP(B5,DATA!$A:$H,4,TRUE),0))</f>
        <v/>
      </c>
      <c r="F7" s="49" t="str">
        <f>IF(F6="","",IFERROR(VLOOKUP(B5,DATA!$A:$H,5,TRUE),0))</f>
        <v/>
      </c>
      <c r="G7" s="49" t="str">
        <f>IF(G6="","",IFERROR(VLOOKUP(B5,DATA!$A:$H,6,TRUE),0))</f>
        <v>nuit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matin</v>
      </c>
      <c r="M7" s="49"/>
      <c r="N7" s="49">
        <f>IF(N6="","",IFERROR(VLOOKUP(K5,DATA!$A:$H,4,TRUE),0))</f>
        <v>0</v>
      </c>
      <c r="O7" s="49" t="str">
        <f>IF(O6="","",IFERROR(VLOOKUP(K5,DATA!$A:$H,5,TRUE),0))</f>
        <v>matin</v>
      </c>
      <c r="P7" s="49" t="str">
        <f>IF(P6="","",IFERROR(VLOOKUP(K5,DATA!$A:$H,6,TRUE),0))</f>
        <v>matin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matin</v>
      </c>
      <c r="V7" s="49">
        <f>IF(V6="","",IFERROR(VLOOKUP(T5,DATA!$A:$H,3,TRUE),0))</f>
        <v>0</v>
      </c>
      <c r="W7" s="49">
        <f>IF(W6="","",IFERROR(VLOOKUP(T5,DATA!$A:$H,4,TRUE),0))</f>
        <v>0</v>
      </c>
      <c r="X7" s="49" t="str">
        <f>IF(X6="","",IFERROR(VLOOKUP(T5,DATA!$A:$H,5,TRUE),0))</f>
        <v>matin</v>
      </c>
      <c r="Y7" s="49" t="str">
        <f>IF(Y6="","",IFERROR(VLOOKUP(T5,DATA!$A:$H,6,TRUE),0))</f>
        <v>matin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am</v>
      </c>
      <c r="AE7" s="49" t="str">
        <f>IF(AE6="","",IFERROR(VLOOKUP(AC5,DATA!$A:$H,3,TRUE),0))</f>
        <v>am</v>
      </c>
      <c r="AF7" s="49" t="str">
        <f>IF(AF6="","",IFERROR(VLOOKUP(AC5,DATA!$A:$H,4,TRUE),0))</f>
        <v>am</v>
      </c>
      <c r="AG7" s="49" t="str">
        <f>IF(AG6="","",IFERROR(VLOOKUP(AC5,DATA!$A:$H,5,TRUE),0))</f>
        <v>am</v>
      </c>
      <c r="AH7" s="49" t="str">
        <f>IF(AH6="","",IFERROR(VLOOKUP(AC5,DATA!$A:$H,6,TRUE),0))</f>
        <v>am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matin</v>
      </c>
      <c r="AN7" s="49" t="str">
        <f>IF(AN6="","",IFERROR(VLOOKUP(AL5,DATA!$A:$H,3,TRUE),0))</f>
        <v>matin</v>
      </c>
      <c r="AO7" s="49" t="str">
        <f>IF(AO6="","",IFERROR(VLOOKUP(AL5,DATA!$A:$H,4,TRUE),0))</f>
        <v>matin</v>
      </c>
      <c r="AP7" s="49">
        <f>IF(AP6="","",IFERROR(VLOOKUP(AL5,DATA!$A:$H,5,TRUE),0))</f>
        <v>0</v>
      </c>
      <c r="AQ7" s="49">
        <f>IF(AQ6="","",IFERROR(VLOOKUP(AL5,DATA!$A:$H,6,TRUE),0))</f>
        <v>0</v>
      </c>
      <c r="AR7" s="49">
        <f>IF(AR6="","",IFERROR(VLOOKUP(AL5,DATA!$A:$H,7,TRUE),0))</f>
        <v>0</v>
      </c>
      <c r="AS7" s="49">
        <f>IF(AS6="","",IFERROR(VLOOKUP(AL5,DATA!$A:$H,8,TRUE),0))</f>
        <v>0</v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>
        <f t="shared" ref="G8" si="3">IF(G7="Matin",1,IF(G7="AM",1,0))</f>
        <v>0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0</v>
      </c>
      <c r="K8" s="51"/>
      <c r="L8" s="52">
        <f t="shared" ref="L8" si="6">IF(L7="Matin",1,IF(L7="AM",1,0))</f>
        <v>1</v>
      </c>
      <c r="M8" s="52">
        <f t="shared" ref="M8" si="7">IF(M7="Matin",1,IF(M7="AM",1,0))</f>
        <v>0</v>
      </c>
      <c r="N8" s="52">
        <f t="shared" ref="N8" si="8">IF(N7="Matin",1,IF(N7="AM",1,0))</f>
        <v>0</v>
      </c>
      <c r="O8" s="52">
        <f t="shared" ref="O8" si="9">IF(O7="Matin",1,IF(O7="AM",1,0))</f>
        <v>1</v>
      </c>
      <c r="P8" s="52">
        <f t="shared" ref="P8" si="10">IF(P7="Matin",1,IF(P7="AM",1,0))</f>
        <v>1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3</v>
      </c>
      <c r="T8" s="51"/>
      <c r="U8" s="52">
        <f t="shared" ref="U8" si="13">IF(U7="Matin",1,IF(U7="AM",1,0))</f>
        <v>1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1</v>
      </c>
      <c r="Y8" s="52">
        <f t="shared" ref="Y8" si="17">IF(Y7="Matin",1,IF(Y7="AM",1,0))</f>
        <v>1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3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1</v>
      </c>
      <c r="AF8" s="52">
        <f t="shared" ref="AF8" si="22">IF(AF7="Matin",1,IF(AF7="AM",1,0))</f>
        <v>1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5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0</v>
      </c>
      <c r="AQ8" s="52">
        <f t="shared" ref="AQ8" si="31">IF(AQ7="Matin",1,IF(AQ7="AM",1,0))</f>
        <v>0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14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0</v>
      </c>
      <c r="G9" s="49">
        <f t="shared" si="37"/>
        <v>1</v>
      </c>
      <c r="H9" s="49">
        <f t="shared" si="37"/>
        <v>0</v>
      </c>
      <c r="I9" s="49">
        <f t="shared" si="37"/>
        <v>0</v>
      </c>
      <c r="J9" s="52">
        <f t="shared" ref="J9:J19" si="38">SUM(C9:I9)</f>
        <v>1</v>
      </c>
      <c r="K9" s="48"/>
      <c r="L9" s="49">
        <f>IF(L10&gt;=1,1,0)</f>
        <v>1</v>
      </c>
      <c r="M9" s="49">
        <f t="shared" ref="M9" si="39">IF(M10&gt;=1,1,0)</f>
        <v>0</v>
      </c>
      <c r="N9" s="49">
        <f t="shared" ref="N9" si="40">IF(N10&gt;=1,1,0)</f>
        <v>0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3</v>
      </c>
      <c r="T9" s="48"/>
      <c r="U9" s="49">
        <f>IF(U10&gt;=1,1,0)</f>
        <v>1</v>
      </c>
      <c r="V9" s="49">
        <f t="shared" ref="V9" si="46">IF(V10&gt;=1,1,0)</f>
        <v>0</v>
      </c>
      <c r="W9" s="49">
        <f t="shared" ref="W9" si="47">IF(W10&gt;=1,1,0)</f>
        <v>0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3</v>
      </c>
      <c r="AC9" s="48"/>
      <c r="AD9" s="49">
        <f>IF(AD10&gt;=1,1,0)</f>
        <v>1</v>
      </c>
      <c r="AE9" s="49">
        <f t="shared" ref="AE9" si="53">IF(AE10&gt;=1,1,0)</f>
        <v>1</v>
      </c>
      <c r="AF9" s="49">
        <f t="shared" ref="AF9" si="54">IF(AF10&gt;=1,1,0)</f>
        <v>1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5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0</v>
      </c>
      <c r="AQ9" s="49">
        <f t="shared" ref="AQ9" si="63">IF(AQ10&gt;=1,1,0)</f>
        <v>0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15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0</v>
      </c>
      <c r="G10" s="52">
        <f t="shared" si="69"/>
        <v>8</v>
      </c>
      <c r="H10" s="52">
        <f t="shared" si="69"/>
        <v>0</v>
      </c>
      <c r="I10" s="52">
        <f t="shared" si="69"/>
        <v>0</v>
      </c>
      <c r="J10" s="52">
        <f t="shared" si="38"/>
        <v>8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0</v>
      </c>
      <c r="N10" s="52">
        <f t="shared" si="70"/>
        <v>0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24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0</v>
      </c>
      <c r="W10" s="52">
        <f t="shared" si="71"/>
        <v>0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24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8</v>
      </c>
      <c r="AF10" s="52">
        <f t="shared" si="72"/>
        <v>8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40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0</v>
      </c>
      <c r="AQ10" s="52">
        <f t="shared" si="73"/>
        <v>0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120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48" t="s">
        <v>20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0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0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3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3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3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0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0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5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5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5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48" t="s">
        <v>44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0.16</v>
      </c>
      <c r="H19" s="49">
        <f t="shared" si="81"/>
        <v>0</v>
      </c>
      <c r="I19" s="49">
        <f t="shared" si="81"/>
        <v>0</v>
      </c>
      <c r="J19" s="52">
        <f t="shared" si="38"/>
        <v>0.16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3">IF(W7="nuit",W10*0.02,0)</f>
        <v>0</v>
      </c>
      <c r="X19" s="49">
        <f t="shared" si="83"/>
        <v>0</v>
      </c>
      <c r="Y19" s="49">
        <f>IF(Y7="nuit",Y10*0.02,0)</f>
        <v>0</v>
      </c>
      <c r="Z19" s="49">
        <f t="shared" si="83"/>
        <v>0</v>
      </c>
      <c r="AA19" s="49">
        <f t="shared" si="83"/>
        <v>0</v>
      </c>
      <c r="AB19" s="52">
        <f t="shared" si="52"/>
        <v>0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0.16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51" t="s">
        <v>31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72">
        <f>Année_Calendaire</f>
        <v>2016</v>
      </c>
      <c r="I22" s="72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72">
        <f>Année_Calendaire</f>
        <v>2016</v>
      </c>
      <c r="AA22" s="72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72">
        <f>Année_Calendaire</f>
        <v>2016</v>
      </c>
      <c r="AS22" s="72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55" t="str">
        <f>IF(AU5&lt;&gt;"",AU5,IF(AL5="C1","C2",IF(AL5="C2","C3",IF(AL5="C3","C4",IF(AL5="C4","C1","")))))</f>
        <v>C2</v>
      </c>
      <c r="C23" s="53" t="s">
        <v>13</v>
      </c>
      <c r="D23" s="53" t="s">
        <v>14</v>
      </c>
      <c r="E23" s="53" t="s">
        <v>15</v>
      </c>
      <c r="F23" s="53" t="s">
        <v>16</v>
      </c>
      <c r="G23" s="53" t="s">
        <v>17</v>
      </c>
      <c r="H23" s="53" t="s">
        <v>18</v>
      </c>
      <c r="I23" s="53" t="s">
        <v>19</v>
      </c>
      <c r="J23" s="73" t="s">
        <v>32</v>
      </c>
      <c r="K23" s="55" t="str">
        <f>IF(B23="C1","C2",IF(B23="C2","C3",IF(B23="C3","C4",IF(B23="C4","C1",""))))</f>
        <v>C3</v>
      </c>
      <c r="L23" s="53" t="str">
        <f>IF(L24&lt;&gt;"","Lun","")</f>
        <v>Lun</v>
      </c>
      <c r="M23" s="53" t="str">
        <f>IF(M24&lt;&gt;"","Mar","")</f>
        <v>Mar</v>
      </c>
      <c r="N23" s="53" t="str">
        <f>IF(N24&lt;&gt;"","Mer","")</f>
        <v>Mer</v>
      </c>
      <c r="O23" s="53" t="str">
        <f>IF(O24&lt;&gt;"","Jeu","")</f>
        <v>Jeu</v>
      </c>
      <c r="P23" s="53" t="str">
        <f>IF(P24&lt;&gt;"","Ven","")</f>
        <v>Ven</v>
      </c>
      <c r="Q23" s="53" t="str">
        <f>IF(Q24&lt;&gt;"","Sam","")</f>
        <v>Sam</v>
      </c>
      <c r="R23" s="53" t="str">
        <f>IF(R24&lt;&gt;"","Dim","")</f>
        <v>Dim</v>
      </c>
      <c r="S23" s="73" t="s">
        <v>32</v>
      </c>
      <c r="T23" s="55" t="str">
        <f>IF(K23="C1","C2",IF(K23="C2","C3",IF(K23="C3","C4",IF(K23="C4","C1",""))))</f>
        <v>C4</v>
      </c>
      <c r="U23" s="53" t="str">
        <f>IF(U24&lt;&gt;"","Lun","")</f>
        <v>Lun</v>
      </c>
      <c r="V23" s="53" t="str">
        <f>IF(V24&lt;&gt;"","Mar","")</f>
        <v>Mar</v>
      </c>
      <c r="W23" s="53" t="str">
        <f>IF(W24&lt;&gt;"","Mer","")</f>
        <v>Mer</v>
      </c>
      <c r="X23" s="53" t="str">
        <f>IF(X24&lt;&gt;"","Jeu","")</f>
        <v>Jeu</v>
      </c>
      <c r="Y23" s="53" t="str">
        <f>IF(Y24&lt;&gt;"","Ven","")</f>
        <v>Ven</v>
      </c>
      <c r="Z23" s="53" t="str">
        <f>IF(Z24&lt;&gt;"","Sam","")</f>
        <v>Sam</v>
      </c>
      <c r="AA23" s="53" t="str">
        <f>IF(AA24&lt;&gt;"","Dim","")</f>
        <v>Dim</v>
      </c>
      <c r="AB23" s="73" t="s">
        <v>32</v>
      </c>
      <c r="AC23" s="55" t="str">
        <f>IF(T23="C1","C2",IF(T23="C2","C3",IF(T23="C3","C4",IF(T23="C4","C1",""))))</f>
        <v>C1</v>
      </c>
      <c r="AD23" s="53" t="str">
        <f>IF(AD24&lt;&gt;"","Lun","")</f>
        <v>Lun</v>
      </c>
      <c r="AE23" s="53" t="str">
        <f>IF(AE24&lt;&gt;"","Mar","")</f>
        <v>Mar</v>
      </c>
      <c r="AF23" s="53" t="str">
        <f>IF(AF24&lt;&gt;"","Mer","")</f>
        <v>Mer</v>
      </c>
      <c r="AG23" s="53" t="str">
        <f>IF(AG24&lt;&gt;"","Jeu","")</f>
        <v>Jeu</v>
      </c>
      <c r="AH23" s="53" t="str">
        <f>IF(AH24&lt;&gt;"","Ven","")</f>
        <v>Ven</v>
      </c>
      <c r="AI23" s="53" t="str">
        <f>IF(AI24&lt;&gt;"","Sam","")</f>
        <v>Sam</v>
      </c>
      <c r="AJ23" s="53" t="str">
        <f>IF(AJ24&lt;&gt;"","Dim","")</f>
        <v>Dim</v>
      </c>
      <c r="AK23" s="73" t="s">
        <v>32</v>
      </c>
      <c r="AL23" s="55" t="str">
        <f>IF(AC23="C1","C2",IF(AC23="C2","C3",IF(AC23="C3","C4",IF(AC23="C4","C1",""))))</f>
        <v>C2</v>
      </c>
      <c r="AM23" s="53" t="str">
        <f>IF(AM24&lt;&gt;"","Lun","")</f>
        <v>Lun</v>
      </c>
      <c r="AN23" s="53" t="str">
        <f>IF(AN24&lt;&gt;"","Mar","")</f>
        <v/>
      </c>
      <c r="AO23" s="53" t="str">
        <f>IF(AO24&lt;&gt;"","Mer","")</f>
        <v/>
      </c>
      <c r="AP23" s="53" t="str">
        <f>IF(AP24&lt;&gt;"","Jeu","")</f>
        <v/>
      </c>
      <c r="AQ23" s="53" t="str">
        <f>IF(AQ24&lt;&gt;"","Ven","")</f>
        <v/>
      </c>
      <c r="AR23" s="53" t="str">
        <f>IF(AR24&lt;&gt;"","Sam","")</f>
        <v/>
      </c>
      <c r="AS23" s="53" t="str">
        <f>IF(AS24&lt;&gt;"","Dim","")</f>
        <v/>
      </c>
      <c r="AT23" s="73" t="s">
        <v>32</v>
      </c>
      <c r="AU23" s="55" t="str">
        <f>IF(AV23&lt;&gt;"",IF(AL23="C1","C2",IF(AL23="C2","C3",IF(AL23="C3","C4",IF(AL23="C4","C1","")))),"")</f>
        <v/>
      </c>
      <c r="AV23" s="53" t="str">
        <f>IF(AV24&lt;&gt;"","Lun","")</f>
        <v/>
      </c>
      <c r="AW23" s="53" t="str">
        <f>IF(AW24&lt;&gt;"","Mar","")</f>
        <v/>
      </c>
      <c r="AX23" s="73" t="s">
        <v>32</v>
      </c>
      <c r="AY23" s="73" t="s">
        <v>35</v>
      </c>
      <c r="AZ23" s="74">
        <f>AY30+AY31+AY32</f>
        <v>10</v>
      </c>
      <c r="BA23" s="74">
        <f>AZ23+BA5</f>
        <v>15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54"/>
      <c r="C24" s="54">
        <f>IF(DAY(Fév_Dim1)=1,"",IF(AND(YEAR(Fév_Dim1+1)=Année_Calendaire,MONTH(Fév_Dim1+1)=2),Fév_Dim1+1,""))</f>
        <v>42401</v>
      </c>
      <c r="D24" s="54">
        <f>IF(DAY(Fév_Dim1)=1,"",IF(AND(YEAR(Fév_Dim1+2)=Année_Calendaire,MONTH(Fév_Dim1+2)=2),Fév_Dim1+2,""))</f>
        <v>42402</v>
      </c>
      <c r="E24" s="54">
        <f>IF(DAY(Fév_Dim1)=1,"",IF(AND(YEAR(Fév_Dim1+3)=Année_Calendaire,MONTH(Fév_Dim1+3)=2),Fév_Dim1+3,""))</f>
        <v>42403</v>
      </c>
      <c r="F24" s="54">
        <f>IF(DAY(Fév_Dim1)=1,"",IF(AND(YEAR(Fév_Dim1+4)=Année_Calendaire,MONTH(Fév_Dim1+4)=2),Fév_Dim1+4,""))</f>
        <v>42404</v>
      </c>
      <c r="G24" s="54">
        <f>IF(DAY(Fév_Dim1)=1,"",IF(AND(YEAR(Fév_Dim1+5)=Année_Calendaire,MONTH(Fév_Dim1+5)=2),Fév_Dim1+5,""))</f>
        <v>42405</v>
      </c>
      <c r="H24" s="54">
        <f>IF(DAY(Fév_Dim1)=1,"",IF(AND(YEAR(Fév_Dim1+6)=Année_Calendaire,MONTH(Fév_Dim1+6)=2),Fév_Dim1+6,""))</f>
        <v>42406</v>
      </c>
      <c r="I24" s="54">
        <f>IF(DAY(Fév_Dim1)=1,IF(AND(YEAR(Fév_Dim1)=Année_Calendaire,MONTH(Fév_Dim1)=2),Fév_Dim1,""),IF(AND(YEAR(Fév_Dim1+7)=Année_Calendaire,MONTH(Fév_Dim1+7)=2),Fév_Dim1+7,""))</f>
        <v>42407</v>
      </c>
      <c r="J24" s="73"/>
      <c r="K24" s="54"/>
      <c r="L24" s="54">
        <f>IF(DAY(Fév_Dim1)=1,IF(AND(YEAR(Fév_Dim1+1)=Année_Calendaire,MONTH(Fév_Dim1+1)=2),Fév_Dim1+1,""),IF(AND(YEAR(Fév_Dim1+8)=Année_Calendaire,MONTH(Fév_Dim1+8)=2),Fév_Dim1+8,""))</f>
        <v>42408</v>
      </c>
      <c r="M24" s="54">
        <f>IF(DAY(Fév_Dim1)=1,IF(AND(YEAR(Fév_Dim1+2)=Année_Calendaire,MONTH(Fév_Dim1+2)=2),Fév_Dim1+2,""),IF(AND(YEAR(Fév_Dim1+9)=Année_Calendaire,MONTH(Fév_Dim1+9)=2),Fév_Dim1+9,""))</f>
        <v>42409</v>
      </c>
      <c r="N24" s="54">
        <f>IF(DAY(Fév_Dim1)=1,IF(AND(YEAR(Fév_Dim1+3)=Année_Calendaire,MONTH(Fév_Dim1+3)=2),Fév_Dim1+3,""),IF(AND(YEAR(Fév_Dim1+10)=Année_Calendaire,MONTH(Fév_Dim1+10)=2),Fév_Dim1+10,""))</f>
        <v>42410</v>
      </c>
      <c r="O24" s="54">
        <f>IF(DAY(Fév_Dim1)=1,IF(AND(YEAR(Fév_Dim1+4)=Année_Calendaire,MONTH(Fév_Dim1+4)=2),Fév_Dim1+4,""),IF(AND(YEAR(Fév_Dim1+11)=Année_Calendaire,MONTH(Fév_Dim1+11)=2),Fév_Dim1+11,""))</f>
        <v>42411</v>
      </c>
      <c r="P24" s="54">
        <f>IF(DAY(Fév_Dim1)=1,IF(AND(YEAR(Fév_Dim1+5)=Année_Calendaire,MONTH(Fév_Dim1+5)=2),Fév_Dim1+5,""),IF(AND(YEAR(Fév_Dim1+12)=Année_Calendaire,MONTH(Fév_Dim1+12)=2),Fév_Dim1+12,""))</f>
        <v>42412</v>
      </c>
      <c r="Q24" s="54">
        <f>IF(DAY(Fév_Dim1)=1,IF(AND(YEAR(Fév_Dim1+6)=Année_Calendaire,MONTH(Fév_Dim1+6)=2),Fév_Dim1+6,""),IF(AND(YEAR(Fév_Dim1+13)=Année_Calendaire,MONTH(Fév_Dim1+13)=2),Fév_Dim1+13,""))</f>
        <v>42413</v>
      </c>
      <c r="R24" s="54">
        <f>IF(DAY(Fév_Dim1)=1,IF(AND(YEAR(Fév_Dim1+7)=Année_Calendaire,MONTH(Fév_Dim1+7)=2),Fév_Dim1+7,""),IF(AND(YEAR(Fév_Dim1+14)=Année_Calendaire,MONTH(Fév_Dim1+14)=2),Fév_Dim1+14,""))</f>
        <v>42414</v>
      </c>
      <c r="S24" s="73"/>
      <c r="T24" s="54"/>
      <c r="U24" s="54">
        <f>IF(DAY(Fév_Dim1)=1,IF(AND(YEAR(Fév_Dim1+8)=Année_Calendaire,MONTH(Fév_Dim1+8)=2),Fév_Dim1+8,""),IF(AND(YEAR(Fév_Dim1+15)=Année_Calendaire,MONTH(Fév_Dim1+15)=2),Fév_Dim1+15,""))</f>
        <v>42415</v>
      </c>
      <c r="V24" s="54">
        <f>IF(DAY(Fév_Dim1)=1,IF(AND(YEAR(Fév_Dim1+9)=Année_Calendaire,MONTH(Fév_Dim1+9)=2),Fév_Dim1+9,""),IF(AND(YEAR(Fév_Dim1+16)=Année_Calendaire,MONTH(Fév_Dim1+16)=2),Fév_Dim1+16,""))</f>
        <v>42416</v>
      </c>
      <c r="W24" s="54">
        <f>IF(DAY(Fév_Dim1)=1,IF(AND(YEAR(Fév_Dim1+10)=Année_Calendaire,MONTH(Fév_Dim1+10)=2),Fév_Dim1+10,""),IF(AND(YEAR(Fév_Dim1+17)=Année_Calendaire,MONTH(Fév_Dim1+17)=2),Fév_Dim1+17,""))</f>
        <v>42417</v>
      </c>
      <c r="X24" s="54">
        <f>IF(DAY(Fév_Dim1)=1,IF(AND(YEAR(Fév_Dim1+11)=Année_Calendaire,MONTH(Fév_Dim1+11)=2),Fév_Dim1+11,""),IF(AND(YEAR(Fév_Dim1+18)=Année_Calendaire,MONTH(Fév_Dim1+18)=2),Fév_Dim1+18,""))</f>
        <v>42418</v>
      </c>
      <c r="Y24" s="54">
        <f>IF(DAY(Fév_Dim1)=1,IF(AND(YEAR(Fév_Dim1+12)=Année_Calendaire,MONTH(Fév_Dim1+12)=2),Fév_Dim1+12,""),IF(AND(YEAR(Fév_Dim1+19)=Année_Calendaire,MONTH(Fév_Dim1+19)=2),Fév_Dim1+19,""))</f>
        <v>42419</v>
      </c>
      <c r="Z24" s="54">
        <f>IF(DAY(Fév_Dim1)=1,IF(AND(YEAR(Fév_Dim1+13)=Année_Calendaire,MONTH(Fév_Dim1+13)=2),Fév_Dim1+13,""),IF(AND(YEAR(Fév_Dim1+20)=Année_Calendaire,MONTH(Fév_Dim1+20)=2),Fév_Dim1+20,""))</f>
        <v>42420</v>
      </c>
      <c r="AA24" s="54">
        <f>IF(DAY(Fév_Dim1)=1,IF(AND(YEAR(Fév_Dim1+14)=Année_Calendaire,MONTH(Fév_Dim1+14)=2),Fév_Dim1+14,""),IF(AND(YEAR(Fév_Dim1+21)=Année_Calendaire,MONTH(Fév_Dim1+21)=2),Fév_Dim1+21,""))</f>
        <v>42421</v>
      </c>
      <c r="AB24" s="73"/>
      <c r="AC24" s="54"/>
      <c r="AD24" s="54">
        <f>IF(DAY(Fév_Dim1)=1,IF(AND(YEAR(Fév_Dim1+15)=Année_Calendaire,MONTH(Fév_Dim1+15)=2),Fév_Dim1+15,""),IF(AND(YEAR(Fév_Dim1+22)=Année_Calendaire,MONTH(Fév_Dim1+22)=2),Fév_Dim1+22,""))</f>
        <v>42422</v>
      </c>
      <c r="AE24" s="54">
        <f>IF(DAY(Fév_Dim1)=1,IF(AND(YEAR(Fév_Dim1+16)=Année_Calendaire,MONTH(Fév_Dim1+16)=2),Fév_Dim1+16,""),IF(AND(YEAR(Fév_Dim1+23)=Année_Calendaire,MONTH(Fév_Dim1+23)=2),Fév_Dim1+23,""))</f>
        <v>42423</v>
      </c>
      <c r="AF24" s="54">
        <f>IF(DAY(Fév_Dim1)=1,IF(AND(YEAR(Fév_Dim1+17)=Année_Calendaire,MONTH(Fév_Dim1+17)=2),Fév_Dim1+17,""),IF(AND(YEAR(Fév_Dim1+24)=Année_Calendaire,MONTH(Fév_Dim1+24)=2),Fév_Dim1+24,""))</f>
        <v>42424</v>
      </c>
      <c r="AG24" s="54">
        <f>IF(DAY(Fév_Dim1)=1,IF(AND(YEAR(Fév_Dim1+18)=Année_Calendaire,MONTH(Fév_Dim1+18)=2),Fév_Dim1+18,""),IF(AND(YEAR(Fév_Dim1+25)=Année_Calendaire,MONTH(Fév_Dim1+25)=2),Fév_Dim1+25,""))</f>
        <v>42425</v>
      </c>
      <c r="AH24" s="54">
        <f>IF(DAY(Fév_Dim1)=1,IF(AND(YEAR(Fév_Dim1+19)=Année_Calendaire,MONTH(Fév_Dim1+19)=2),Fév_Dim1+19,""),IF(AND(YEAR(Fév_Dim1+26)=Année_Calendaire,MONTH(Fév_Dim1+26)=2),Fév_Dim1+26,""))</f>
        <v>42426</v>
      </c>
      <c r="AI24" s="54">
        <f>IF(DAY(Fév_Dim1)=1,IF(AND(YEAR(Fév_Dim1+20)=Année_Calendaire,MONTH(Fév_Dim1+20)=2),Fév_Dim1+20,""),IF(AND(YEAR(Fév_Dim1+27)=Année_Calendaire,MONTH(Fév_Dim1+27)=2),Fév_Dim1+27,""))</f>
        <v>42427</v>
      </c>
      <c r="AJ24" s="54">
        <f>IF(DAY(Fév_Dim1)=1,IF(AND(YEAR(Fév_Dim1+21)=Année_Calendaire,MONTH(Fév_Dim1+21)=2),Fév_Dim1+21,""),IF(AND(YEAR(Fév_Dim1+28)=Année_Calendaire,MONTH(Fév_Dim1+28)=2),Fév_Dim1+28,""))</f>
        <v>42428</v>
      </c>
      <c r="AK24" s="73"/>
      <c r="AL24" s="54"/>
      <c r="AM24" s="54">
        <f>IF(DAY(Fév_Dim1)=1,IF(AND(YEAR(Fév_Dim1+22)=Année_Calendaire,MONTH(Fév_Dim1+22)=2),Fév_Dim1+22,""),IF(AND(YEAR(Fév_Dim1+29)=Année_Calendaire,MONTH(Fév_Dim1+29)=2),Fév_Dim1+29,""))</f>
        <v>42429</v>
      </c>
      <c r="AN24" s="54" t="str">
        <f>IF(DAY(Fév_Dim1)=1,IF(AND(YEAR(Fév_Dim1+23)=Année_Calendaire,MONTH(Fév_Dim1+23)=2),Fév_Dim1+23,""),IF(AND(YEAR(Fév_Dim1+30)=Année_Calendaire,MONTH(Fév_Dim1+30)=2),Fév_Dim1+30,""))</f>
        <v/>
      </c>
      <c r="AO24" s="54" t="str">
        <f>IF(DAY(Fév_Dim1)=1,IF(AND(YEAR(Fév_Dim1+24)=Année_Calendaire,MONTH(Fév_Dim1+24)=2),Fév_Dim1+24,""),IF(AND(YEAR(Fév_Dim1+31)=Année_Calendaire,MONTH(Fév_Dim1+31)=2),Fév_Dim1+31,""))</f>
        <v/>
      </c>
      <c r="AP24" s="54" t="str">
        <f>IF(DAY(Fév_Dim1)=1,IF(AND(YEAR(Fév_Dim1+25)=Année_Calendaire,MONTH(Fév_Dim1+25)=2),Fév_Dim1+25,""),IF(AND(YEAR(Fév_Dim1+32)=Année_Calendaire,MONTH(Fév_Dim1+32)=2),Fév_Dim1+32,""))</f>
        <v/>
      </c>
      <c r="AQ24" s="54" t="str">
        <f>IF(DAY(Fév_Dim1)=1,IF(AND(YEAR(Fév_Dim1+26)=Année_Calendaire,MONTH(Fév_Dim1+26)=2),Fév_Dim1+26,""),IF(AND(YEAR(Fév_Dim1+33)=Année_Calendaire,MONTH(Fév_Dim1+33)=2),Fév_Dim1+33,""))</f>
        <v/>
      </c>
      <c r="AR24" s="54" t="str">
        <f>IF(DAY(Fév_Dim1)=1,IF(AND(YEAR(Fév_Dim1+27)=Année_Calendaire,MONTH(Fév_Dim1+27)=2),Fév_Dim1+27,""),IF(AND(YEAR(Fév_Dim1+34)=Année_Calendaire,MONTH(Fév_Dim1+34)=2),Fév_Dim1+34,""))</f>
        <v/>
      </c>
      <c r="AS24" s="54" t="str">
        <f>IF(DAY(Fév_Dim1)=1,IF(AND(YEAR(Fév_Dim1+28)=Année_Calendaire,MONTH(Fév_Dim1+28)=2),Fév_Dim1+28,""),IF(AND(YEAR(Fév_Dim1+35)=Année_Calendaire,MONTH(Fév_Dim1+35)=2),Fév_Dim1+35,""))</f>
        <v/>
      </c>
      <c r="AT24" s="73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73"/>
      <c r="AY24" s="73"/>
      <c r="AZ24" s="74"/>
      <c r="BA24" s="74"/>
      <c r="BB24" s="32"/>
      <c r="BC24" s="32"/>
      <c r="BD24" s="32"/>
      <c r="BE24" s="32"/>
      <c r="BF24" s="24"/>
    </row>
    <row r="25" spans="1:59" s="5" customFormat="1" ht="15" customHeight="1" x14ac:dyDescent="0.25">
      <c r="A25" s="48" t="s">
        <v>2</v>
      </c>
      <c r="B25" s="48"/>
      <c r="C25" s="49" t="str">
        <f>IF(C24="","",IFERROR(VLOOKUP(B23,DATA!$A:$H,2,TRUE),0))</f>
        <v>nuit</v>
      </c>
      <c r="D25" s="49" t="str">
        <f>IF(D24="","",IFERROR(VLOOKUP(B23,DATA!$A:$H,3,TRUE),0))</f>
        <v>nuit</v>
      </c>
      <c r="E25" s="49" t="str">
        <f>IF(E24="","",IFERROR(VLOOKUP(B23,DATA!$A:$H,4,TRUE),0))</f>
        <v>nuit</v>
      </c>
      <c r="F25" s="49" t="str">
        <f>IF(F24="","",IFERROR(VLOOKUP(B23,DATA!$A:$H,5,TRUE),0))</f>
        <v>nuit</v>
      </c>
      <c r="G25" s="49" t="str">
        <f>IF(G24="","",IFERROR(VLOOKUP(B23,DATA!$A:$H,6,TRUE),0))</f>
        <v>nuit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matin</v>
      </c>
      <c r="M25" s="49">
        <f>IF(M24="","",IFERROR(VLOOKUP(K23,DATA!$A:$H,3,TRUE),0))</f>
        <v>0</v>
      </c>
      <c r="N25" s="49">
        <f>IF(N24="","",IFERROR(VLOOKUP(K23,DATA!$A:$H,4,TRUE),0))</f>
        <v>0</v>
      </c>
      <c r="O25" s="49" t="str">
        <f>IF(O24="","",IFERROR(VLOOKUP(K23,DATA!$A:$H,5,TRUE),0))</f>
        <v>matin</v>
      </c>
      <c r="P25" s="49" t="str">
        <f>IF(P24="","",IFERROR(VLOOKUP(K23,DATA!$A:$H,6,TRUE),0))</f>
        <v>matin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am</v>
      </c>
      <c r="V25" s="49" t="str">
        <f>IF(V24="","",IFERROR(VLOOKUP(T23,DATA!$A:$H,3,TRUE),0))</f>
        <v>am</v>
      </c>
      <c r="W25" s="49" t="str">
        <f>IF(W24="","",IFERROR(VLOOKUP(T23,DATA!$A:$H,4,TRUE),0))</f>
        <v>am</v>
      </c>
      <c r="X25" s="49" t="str">
        <f>IF(X24="","",IFERROR(VLOOKUP(T23,DATA!$A:$H,5,TRUE),0))</f>
        <v>am</v>
      </c>
      <c r="Y25" s="49" t="str">
        <f>IF(Y24="","",IFERROR(VLOOKUP(T23,DATA!$A:$H,6,TRUE),0))</f>
        <v>am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matin</v>
      </c>
      <c r="AE25" s="49" t="str">
        <f>IF(AE24="","",IFERROR(VLOOKUP(AC23,DATA!$A:$H,3,TRUE),0))</f>
        <v>matin</v>
      </c>
      <c r="AF25" s="49" t="str">
        <f>IF(AF24="","",IFERROR(VLOOKUP(AC23,DATA!$A:$H,4,TRUE),0))</f>
        <v>matin</v>
      </c>
      <c r="AG25" s="49">
        <f>IF(AG24="","",IFERROR(VLOOKUP(AC23,DATA!$A:$H,5,TRUE),0))</f>
        <v>0</v>
      </c>
      <c r="AH25" s="49">
        <f>IF(AH24="","",IFERROR(VLOOKUP(AC23,DATA!$A:$H,6,TRUE),0))</f>
        <v>0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nuit</v>
      </c>
      <c r="AN25" s="49" t="str">
        <f>IF(AN24="","",IFERROR(VLOOKUP(AL23,DATA!$A:$H,3,TRUE),0))</f>
        <v/>
      </c>
      <c r="AO25" s="49" t="str">
        <f>IF(AO24="","",IFERROR(VLOOKUP(AL23,DATA!$A:$H,4,TRUE),0))</f>
        <v/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0</v>
      </c>
      <c r="F26" s="52">
        <f t="shared" si="86"/>
        <v>0</v>
      </c>
      <c r="G26" s="52">
        <f t="shared" si="86"/>
        <v>0</v>
      </c>
      <c r="H26" s="52">
        <f t="shared" si="86"/>
        <v>0</v>
      </c>
      <c r="I26" s="52">
        <f t="shared" si="86"/>
        <v>0</v>
      </c>
      <c r="J26" s="52">
        <f>SUM(C26:I26)</f>
        <v>0</v>
      </c>
      <c r="K26" s="51"/>
      <c r="L26" s="52">
        <f t="shared" ref="L26:R26" si="87">IF(L25="Matin",1,IF(L25="AM",1,0))</f>
        <v>1</v>
      </c>
      <c r="M26" s="52">
        <f t="shared" si="87"/>
        <v>0</v>
      </c>
      <c r="N26" s="52">
        <f t="shared" si="87"/>
        <v>0</v>
      </c>
      <c r="O26" s="52">
        <f t="shared" si="87"/>
        <v>1</v>
      </c>
      <c r="P26" s="52">
        <f t="shared" si="87"/>
        <v>1</v>
      </c>
      <c r="Q26" s="52">
        <f t="shared" si="87"/>
        <v>0</v>
      </c>
      <c r="R26" s="52">
        <f t="shared" si="87"/>
        <v>0</v>
      </c>
      <c r="S26" s="52">
        <f>SUM(L26:R26)</f>
        <v>3</v>
      </c>
      <c r="T26" s="51"/>
      <c r="U26" s="52">
        <f t="shared" ref="U26:AA26" si="88">IF(U25="Matin",1,IF(U25="AM",1,0))</f>
        <v>1</v>
      </c>
      <c r="V26" s="52">
        <f t="shared" si="88"/>
        <v>1</v>
      </c>
      <c r="W26" s="52">
        <f t="shared" si="88"/>
        <v>1</v>
      </c>
      <c r="X26" s="52">
        <f t="shared" si="88"/>
        <v>1</v>
      </c>
      <c r="Y26" s="52">
        <f t="shared" si="88"/>
        <v>1</v>
      </c>
      <c r="Z26" s="52">
        <f t="shared" si="88"/>
        <v>0</v>
      </c>
      <c r="AA26" s="52">
        <f t="shared" si="88"/>
        <v>0</v>
      </c>
      <c r="AB26" s="52">
        <f>SUM(U26:AA26)</f>
        <v>5</v>
      </c>
      <c r="AC26" s="51"/>
      <c r="AD26" s="52">
        <f t="shared" ref="AD26:AJ26" si="89">IF(AD25="Matin",1,IF(AD25="AM",1,0))</f>
        <v>1</v>
      </c>
      <c r="AE26" s="52">
        <f t="shared" si="89"/>
        <v>1</v>
      </c>
      <c r="AF26" s="52">
        <f t="shared" si="89"/>
        <v>1</v>
      </c>
      <c r="AG26" s="52">
        <f t="shared" si="89"/>
        <v>0</v>
      </c>
      <c r="AH26" s="52">
        <f t="shared" si="89"/>
        <v>0</v>
      </c>
      <c r="AI26" s="52">
        <f t="shared" si="89"/>
        <v>0</v>
      </c>
      <c r="AJ26" s="52">
        <f t="shared" si="89"/>
        <v>0</v>
      </c>
      <c r="AK26" s="52">
        <f>SUM(AD26:AJ26)</f>
        <v>3</v>
      </c>
      <c r="AL26" s="51"/>
      <c r="AM26" s="52">
        <f t="shared" ref="AM26:AS26" si="90">IF(AM25="Matin",1,IF(AM25="AM",1,0))</f>
        <v>0</v>
      </c>
      <c r="AN26" s="52">
        <f t="shared" si="90"/>
        <v>0</v>
      </c>
      <c r="AO26" s="52">
        <f t="shared" si="90"/>
        <v>0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0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48" t="s">
        <v>4</v>
      </c>
      <c r="B27" s="48"/>
      <c r="C27" s="49">
        <f>IF(C28&gt;=1,1,0)</f>
        <v>1</v>
      </c>
      <c r="D27" s="49">
        <f>IF(D28&gt;=1,1,0)</f>
        <v>1</v>
      </c>
      <c r="E27" s="49">
        <f t="shared" ref="E27:I27" si="93">IF(E28&gt;=1,1,0)</f>
        <v>1</v>
      </c>
      <c r="F27" s="49">
        <f t="shared" si="93"/>
        <v>1</v>
      </c>
      <c r="G27" s="49">
        <f t="shared" si="93"/>
        <v>1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5</v>
      </c>
      <c r="K27" s="48"/>
      <c r="L27" s="49">
        <f>IF(L28&gt;=1,1,0)</f>
        <v>1</v>
      </c>
      <c r="M27" s="49">
        <f t="shared" ref="M27:R27" si="95">IF(M28&gt;=1,1,0)</f>
        <v>0</v>
      </c>
      <c r="N27" s="49">
        <f t="shared" si="95"/>
        <v>0</v>
      </c>
      <c r="O27" s="49">
        <f t="shared" si="95"/>
        <v>1</v>
      </c>
      <c r="P27" s="49">
        <f t="shared" si="95"/>
        <v>1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3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5</v>
      </c>
      <c r="AC27" s="48"/>
      <c r="AD27" s="49">
        <f>IF(AD28&gt;=1,1,0)</f>
        <v>1</v>
      </c>
      <c r="AE27" s="49">
        <f t="shared" ref="AE27:AJ27" si="99">IF(AE28&gt;=1,1,0)</f>
        <v>1</v>
      </c>
      <c r="AF27" s="49">
        <f t="shared" si="99"/>
        <v>1</v>
      </c>
      <c r="AG27" s="49">
        <f t="shared" si="99"/>
        <v>0</v>
      </c>
      <c r="AH27" s="49">
        <f t="shared" si="99"/>
        <v>0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3</v>
      </c>
      <c r="AL27" s="48"/>
      <c r="AM27" s="49">
        <f>IF(AM28&gt;=1,1,0)</f>
        <v>1</v>
      </c>
      <c r="AN27" s="49">
        <f t="shared" ref="AN27:AS27" si="101">IF(AN28&gt;=1,1,0)</f>
        <v>0</v>
      </c>
      <c r="AO27" s="49">
        <f t="shared" si="101"/>
        <v>0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1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51" t="s">
        <v>3</v>
      </c>
      <c r="B28" s="51"/>
      <c r="C28" s="52">
        <f>IF(C25="Matin",8,IF(C25="AM",8,IF(C25="nuit",8,0)))</f>
        <v>8</v>
      </c>
      <c r="D28" s="52">
        <f t="shared" ref="D28:I28" si="105">IF(D25="Matin",8,IF(D25="AM",8,IF(D25="nuit",8,0)))</f>
        <v>8</v>
      </c>
      <c r="E28" s="52">
        <f t="shared" si="105"/>
        <v>8</v>
      </c>
      <c r="F28" s="52">
        <f t="shared" si="105"/>
        <v>8</v>
      </c>
      <c r="G28" s="52">
        <f t="shared" si="105"/>
        <v>8</v>
      </c>
      <c r="H28" s="52">
        <f t="shared" si="105"/>
        <v>0</v>
      </c>
      <c r="I28" s="52">
        <f t="shared" si="105"/>
        <v>0</v>
      </c>
      <c r="J28" s="52">
        <f t="shared" si="94"/>
        <v>40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0</v>
      </c>
      <c r="N28" s="52">
        <f t="shared" si="106"/>
        <v>0</v>
      </c>
      <c r="O28" s="52">
        <f t="shared" si="106"/>
        <v>8</v>
      </c>
      <c r="P28" s="52">
        <f t="shared" si="106"/>
        <v>8</v>
      </c>
      <c r="Q28" s="52">
        <f t="shared" si="106"/>
        <v>0</v>
      </c>
      <c r="R28" s="52">
        <f t="shared" si="106"/>
        <v>0</v>
      </c>
      <c r="S28" s="52">
        <f t="shared" si="96"/>
        <v>24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40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8</v>
      </c>
      <c r="AF28" s="52">
        <f t="shared" si="108"/>
        <v>8</v>
      </c>
      <c r="AG28" s="52">
        <f t="shared" si="108"/>
        <v>0</v>
      </c>
      <c r="AH28" s="52">
        <f t="shared" si="108"/>
        <v>0</v>
      </c>
      <c r="AI28" s="52">
        <f t="shared" si="108"/>
        <v>0</v>
      </c>
      <c r="AJ28" s="52">
        <f t="shared" si="108"/>
        <v>0</v>
      </c>
      <c r="AK28" s="52">
        <f t="shared" si="100"/>
        <v>24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0</v>
      </c>
      <c r="AO28" s="52">
        <f t="shared" si="109"/>
        <v>0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8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48" t="s">
        <v>20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3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3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5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5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48" t="s">
        <v>44</v>
      </c>
      <c r="B37" s="48"/>
      <c r="C37" s="49">
        <f>IF(C25="nuit",C28*0.02,0)</f>
        <v>0.16</v>
      </c>
      <c r="D37" s="49">
        <f>IF(D25="nuit",D28*0.02,0)</f>
        <v>0.16</v>
      </c>
      <c r="E37" s="49">
        <f t="shared" ref="E37:I37" si="117">IF(E25="nuit",E28*0.02,0)</f>
        <v>0.16</v>
      </c>
      <c r="F37" s="49">
        <f t="shared" si="117"/>
        <v>0.16</v>
      </c>
      <c r="G37" s="49">
        <f>IF(G25="nuit",G28*0.02,0)</f>
        <v>0.16</v>
      </c>
      <c r="H37" s="49">
        <f t="shared" si="117"/>
        <v>0</v>
      </c>
      <c r="I37" s="49">
        <f t="shared" si="117"/>
        <v>0</v>
      </c>
      <c r="J37" s="52">
        <f t="shared" si="94"/>
        <v>0.8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9">IF(W25="nuit",W28*0.02,0)</f>
        <v>0</v>
      </c>
      <c r="X37" s="49">
        <f t="shared" si="119"/>
        <v>0</v>
      </c>
      <c r="Y37" s="49">
        <f>IF(Y25="nuit",Y28*0.02,0)</f>
        <v>0</v>
      </c>
      <c r="Z37" s="49">
        <f t="shared" si="119"/>
        <v>0</v>
      </c>
      <c r="AA37" s="49">
        <f t="shared" si="119"/>
        <v>0</v>
      </c>
      <c r="AB37" s="52">
        <f t="shared" si="98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0.16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0.16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0.96000000000000008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51" t="s">
        <v>31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72">
        <f>Année_Calendaire</f>
        <v>2016</v>
      </c>
      <c r="I40" s="72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21</v>
      </c>
      <c r="V40" s="19"/>
      <c r="W40" s="19"/>
      <c r="X40" s="19"/>
      <c r="Y40" s="19"/>
      <c r="Z40" s="72">
        <f>Année_Calendaire</f>
        <v>2016</v>
      </c>
      <c r="AA40" s="72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21</v>
      </c>
      <c r="AN40" s="19"/>
      <c r="AO40" s="19"/>
      <c r="AP40" s="19"/>
      <c r="AQ40" s="19"/>
      <c r="AR40" s="72">
        <f>Année_Calendaire</f>
        <v>2016</v>
      </c>
      <c r="AS40" s="72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55" t="str">
        <f>IF(AU23&lt;&gt;"",AU23,IF(AL23="C1","C2",IF(AL23="C2","C3",IF(AL23="C3","C4",IF(AL23="C4","C1","")))))</f>
        <v>C3</v>
      </c>
      <c r="C41" s="53" t="s">
        <v>13</v>
      </c>
      <c r="D41" s="53" t="s">
        <v>14</v>
      </c>
      <c r="E41" s="53" t="s">
        <v>15</v>
      </c>
      <c r="F41" s="53" t="s">
        <v>16</v>
      </c>
      <c r="G41" s="53" t="s">
        <v>17</v>
      </c>
      <c r="H41" s="53" t="s">
        <v>18</v>
      </c>
      <c r="I41" s="53" t="s">
        <v>19</v>
      </c>
      <c r="J41" s="73" t="s">
        <v>32</v>
      </c>
      <c r="K41" s="55" t="str">
        <f>IF(B41="C1","C2",IF(B41="C2","C3",IF(B41="C3","C4",IF(B41="C4","C1",""))))</f>
        <v>C4</v>
      </c>
      <c r="L41" s="53" t="str">
        <f>IF(L42&lt;&gt;"","Lun","")</f>
        <v>Lun</v>
      </c>
      <c r="M41" s="53" t="str">
        <f>IF(M42&lt;&gt;"","Mar","")</f>
        <v>Mar</v>
      </c>
      <c r="N41" s="53" t="str">
        <f>IF(N42&lt;&gt;"","Mer","")</f>
        <v>Mer</v>
      </c>
      <c r="O41" s="53" t="str">
        <f>IF(O42&lt;&gt;"","Jeu","")</f>
        <v>Jeu</v>
      </c>
      <c r="P41" s="53" t="str">
        <f>IF(P42&lt;&gt;"","Ven","")</f>
        <v>Ven</v>
      </c>
      <c r="Q41" s="53" t="str">
        <f>IF(Q42&lt;&gt;"","Sam","")</f>
        <v>Sam</v>
      </c>
      <c r="R41" s="53" t="str">
        <f>IF(R42&lt;&gt;"","Dim","")</f>
        <v>Dim</v>
      </c>
      <c r="S41" s="73" t="s">
        <v>32</v>
      </c>
      <c r="T41" s="55" t="str">
        <f>IF(K41="C1","C2",IF(K41="C2","C3",IF(K41="C3","C4",IF(K41="C4","C1",""))))</f>
        <v>C1</v>
      </c>
      <c r="U41" s="53" t="str">
        <f>IF(U42&lt;&gt;"","Lun","")</f>
        <v>Lun</v>
      </c>
      <c r="V41" s="53" t="str">
        <f>IF(V42&lt;&gt;"","Mar","")</f>
        <v>Mar</v>
      </c>
      <c r="W41" s="53" t="str">
        <f>IF(W42&lt;&gt;"","Mer","")</f>
        <v>Mer</v>
      </c>
      <c r="X41" s="53" t="str">
        <f>IF(X42&lt;&gt;"","Jeu","")</f>
        <v>Jeu</v>
      </c>
      <c r="Y41" s="53" t="str">
        <f>IF(Y42&lt;&gt;"","Ven","")</f>
        <v>Ven</v>
      </c>
      <c r="Z41" s="53" t="str">
        <f>IF(Z42&lt;&gt;"","Sam","")</f>
        <v>Sam</v>
      </c>
      <c r="AA41" s="53" t="str">
        <f>IF(AA42&lt;&gt;"","Dim","")</f>
        <v>Dim</v>
      </c>
      <c r="AB41" s="73" t="s">
        <v>32</v>
      </c>
      <c r="AC41" s="55" t="str">
        <f>IF(T41="C1","C2",IF(T41="C2","C3",IF(T41="C3","C4",IF(T41="C4","C1",""))))</f>
        <v>C2</v>
      </c>
      <c r="AD41" s="53" t="str">
        <f>IF(AD42&lt;&gt;"","Lun","")</f>
        <v>Lun</v>
      </c>
      <c r="AE41" s="53" t="str">
        <f>IF(AE42&lt;&gt;"","Mar","")</f>
        <v>Mar</v>
      </c>
      <c r="AF41" s="53" t="str">
        <f>IF(AF42&lt;&gt;"","Mer","")</f>
        <v>Mer</v>
      </c>
      <c r="AG41" s="53" t="str">
        <f>IF(AG42&lt;&gt;"","Jeu","")</f>
        <v>Jeu</v>
      </c>
      <c r="AH41" s="53" t="str">
        <f>IF(AH42&lt;&gt;"","Ven","")</f>
        <v>Ven</v>
      </c>
      <c r="AI41" s="53" t="str">
        <f>IF(AI42&lt;&gt;"","Sam","")</f>
        <v>Sam</v>
      </c>
      <c r="AJ41" s="53" t="str">
        <f>IF(AJ42&lt;&gt;"","Dim","")</f>
        <v>Dim</v>
      </c>
      <c r="AK41" s="73" t="s">
        <v>32</v>
      </c>
      <c r="AL41" s="55" t="str">
        <f>IF(AC41="C1","C2",IF(AC41="C2","C3",IF(AC41="C3","C4",IF(AC41="C4","C1",""))))</f>
        <v>C3</v>
      </c>
      <c r="AM41" s="53" t="str">
        <f>IF(AM42&lt;&gt;"","Lun","")</f>
        <v>Lun</v>
      </c>
      <c r="AN41" s="53" t="str">
        <f>IF(AN42&lt;&gt;"","Mar","")</f>
        <v>Mar</v>
      </c>
      <c r="AO41" s="53" t="str">
        <f>IF(AO42&lt;&gt;"","Mer","")</f>
        <v>Mer</v>
      </c>
      <c r="AP41" s="53" t="str">
        <f>IF(AP42&lt;&gt;"","Jeu","")</f>
        <v>Jeu</v>
      </c>
      <c r="AQ41" s="53" t="str">
        <f>IF(AQ42&lt;&gt;"","Ven","")</f>
        <v/>
      </c>
      <c r="AR41" s="53" t="str">
        <f>IF(AR42&lt;&gt;"","Sam","")</f>
        <v/>
      </c>
      <c r="AS41" s="53" t="str">
        <f>IF(AS42&lt;&gt;"","Dim","")</f>
        <v/>
      </c>
      <c r="AT41" s="73" t="s">
        <v>32</v>
      </c>
      <c r="AU41" s="55" t="str">
        <f>IF(AV41&lt;&gt;"",IF(AL41="C1","C2",IF(AL41="C2","C3",IF(AL41="C3","C4",IF(AL41="C4","C1","")))),"")</f>
        <v/>
      </c>
      <c r="AV41" s="53" t="str">
        <f>IF(AV42&lt;&gt;"","Lun","")</f>
        <v/>
      </c>
      <c r="AW41" s="53" t="str">
        <f>IF(AW42&lt;&gt;"","Mar","")</f>
        <v/>
      </c>
      <c r="AX41" s="73" t="s">
        <v>32</v>
      </c>
      <c r="AY41" s="73" t="s">
        <v>35</v>
      </c>
      <c r="AZ41" s="74">
        <f>AY48+AY49+AY50</f>
        <v>10</v>
      </c>
      <c r="BA41" s="74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54"/>
      <c r="C42" s="54" t="str">
        <f>IF(DAY(Mar_Dim1)=1,"",IF(AND(YEAR(Mar_Dim1+1)=Année_Calendaire,MONTH(Mar_Dim1+1)=3),Mar_Dim1+1,""))</f>
        <v/>
      </c>
      <c r="D42" s="54">
        <f>IF(DAY(Mar_Dim1)=1,"",IF(AND(YEAR(Mar_Dim1+2)=Année_Calendaire,MONTH(Mar_Dim1+2)=3),Mar_Dim1+2,""))</f>
        <v>42430</v>
      </c>
      <c r="E42" s="54">
        <f>IF(DAY(Mar_Dim1)=1,"",IF(AND(YEAR(Mar_Dim1+3)=Année_Calendaire,MONTH(Mar_Dim1+3)=3),Mar_Dim1+3,""))</f>
        <v>42431</v>
      </c>
      <c r="F42" s="54">
        <f>IF(DAY(Mar_Dim1)=1,"",IF(AND(YEAR(Mar_Dim1+4)=Année_Calendaire,MONTH(Mar_Dim1+4)=3),Mar_Dim1+4,""))</f>
        <v>42432</v>
      </c>
      <c r="G42" s="54">
        <f>IF(DAY(Mar_Dim1)=1,"",IF(AND(YEAR(Mar_Dim1+5)=Année_Calendaire,MONTH(Mar_Dim1+5)=3),Mar_Dim1+5,""))</f>
        <v>42433</v>
      </c>
      <c r="H42" s="54">
        <f>IF(DAY(Mar_Dim1)=1,"",IF(AND(YEAR(Mar_Dim1+6)=Année_Calendaire,MONTH(Mar_Dim1+6)=3),Mar_Dim1+6,""))</f>
        <v>42434</v>
      </c>
      <c r="I42" s="54">
        <f>IF(DAY(Mar_Dim1)=1,IF(AND(YEAR(Mar_Dim1)=Année_Calendaire,MONTH(Mar_Dim1)=3),Mar_Dim1,""),IF(AND(YEAR(Mar_Dim1+7)=Année_Calendaire,MONTH(Mar_Dim1+7)=3),Mar_Dim1+7,""))</f>
        <v>42435</v>
      </c>
      <c r="J42" s="73"/>
      <c r="K42" s="54"/>
      <c r="L42" s="54">
        <f>IF(DAY(Mar_Dim1)=1,IF(AND(YEAR(Mar_Dim1+1)=Année_Calendaire,MONTH(Mar_Dim1+1)=3),Mar_Dim1+1,""),IF(AND(YEAR(Mar_Dim1+8)=Année_Calendaire,MONTH(Mar_Dim1+8)=3),Mar_Dim1+8,""))</f>
        <v>42436</v>
      </c>
      <c r="M42" s="54">
        <f>IF(DAY(Mar_Dim1)=1,IF(AND(YEAR(Mar_Dim1+2)=Année_Calendaire,MONTH(Mar_Dim1+2)=3),Mar_Dim1+2,""),IF(AND(YEAR(Mar_Dim1+9)=Année_Calendaire,MONTH(Mar_Dim1+9)=3),Mar_Dim1+9,""))</f>
        <v>42437</v>
      </c>
      <c r="N42" s="54">
        <f>IF(DAY(Mar_Dim1)=1,IF(AND(YEAR(Mar_Dim1+3)=Année_Calendaire,MONTH(Mar_Dim1+3)=3),Mar_Dim1+3,""),IF(AND(YEAR(Mar_Dim1+10)=Année_Calendaire,MONTH(Mar_Dim1+10)=3),Mar_Dim1+10,""))</f>
        <v>42438</v>
      </c>
      <c r="O42" s="54">
        <f>IF(DAY(Mar_Dim1)=1,IF(AND(YEAR(Mar_Dim1+4)=Année_Calendaire,MONTH(Mar_Dim1+4)=3),Mar_Dim1+4,""),IF(AND(YEAR(Mar_Dim1+11)=Année_Calendaire,MONTH(Mar_Dim1+11)=3),Mar_Dim1+11,""))</f>
        <v>42439</v>
      </c>
      <c r="P42" s="54">
        <f>IF(DAY(Mar_Dim1)=1,IF(AND(YEAR(Mar_Dim1+5)=Année_Calendaire,MONTH(Mar_Dim1+5)=3),Mar_Dim1+5,""),IF(AND(YEAR(Mar_Dim1+12)=Année_Calendaire,MONTH(Mar_Dim1+12)=3),Mar_Dim1+12,""))</f>
        <v>42440</v>
      </c>
      <c r="Q42" s="54">
        <f>IF(DAY(Mar_Dim1)=1,IF(AND(YEAR(Mar_Dim1+6)=Année_Calendaire,MONTH(Mar_Dim1+6)=3),Mar_Dim1+6,""),IF(AND(YEAR(Mar_Dim1+13)=Année_Calendaire,MONTH(Mar_Dim1+13)=3),Mar_Dim1+13,""))</f>
        <v>42441</v>
      </c>
      <c r="R42" s="54">
        <f>IF(DAY(Mar_Dim1)=1,IF(AND(YEAR(Mar_Dim1+7)=Année_Calendaire,MONTH(Mar_Dim1+7)=3),Mar_Dim1+7,""),IF(AND(YEAR(Mar_Dim1+14)=Année_Calendaire,MONTH(Mar_Dim1+14)=3),Mar_Dim1+14,""))</f>
        <v>42442</v>
      </c>
      <c r="S42" s="73"/>
      <c r="T42" s="54"/>
      <c r="U42" s="54">
        <f>IF(DAY(Mar_Dim1)=1,IF(AND(YEAR(Mar_Dim1+8)=Année_Calendaire,MONTH(Mar_Dim1+8)=3),Mar_Dim1+8,""),IF(AND(YEAR(Mar_Dim1+15)=Année_Calendaire,MONTH(Mar_Dim1+15)=3),Mar_Dim1+15,""))</f>
        <v>42443</v>
      </c>
      <c r="V42" s="54">
        <f>IF(DAY(Mar_Dim1)=1,IF(AND(YEAR(Mar_Dim1+9)=Année_Calendaire,MONTH(Mar_Dim1+9)=3),Mar_Dim1+9,""),IF(AND(YEAR(Mar_Dim1+16)=Année_Calendaire,MONTH(Mar_Dim1+16)=3),Mar_Dim1+16,""))</f>
        <v>42444</v>
      </c>
      <c r="W42" s="54">
        <f>IF(DAY(Mar_Dim1)=1,IF(AND(YEAR(Mar_Dim1+10)=Année_Calendaire,MONTH(Mar_Dim1+10)=3),Mar_Dim1+10,""),IF(AND(YEAR(Mar_Dim1+17)=Année_Calendaire,MONTH(Mar_Dim1+17)=3),Mar_Dim1+17,""))</f>
        <v>42445</v>
      </c>
      <c r="X42" s="54">
        <f>IF(DAY(Mar_Dim1)=1,IF(AND(YEAR(Mar_Dim1+11)=Année_Calendaire,MONTH(Mar_Dim1+11)=3),Mar_Dim1+11,""),IF(AND(YEAR(Mar_Dim1+18)=Année_Calendaire,MONTH(Mar_Dim1+18)=3),Mar_Dim1+18,""))</f>
        <v>42446</v>
      </c>
      <c r="Y42" s="54">
        <f>IF(DAY(Mar_Dim1)=1,IF(AND(YEAR(Mar_Dim1+12)=Année_Calendaire,MONTH(Mar_Dim1+12)=3),Mar_Dim1+12,""),IF(AND(YEAR(Mar_Dim1+19)=Année_Calendaire,MONTH(Mar_Dim1+19)=3),Mar_Dim1+19,""))</f>
        <v>42447</v>
      </c>
      <c r="Z42" s="54">
        <f>IF(DAY(Mar_Dim1)=1,IF(AND(YEAR(Mar_Dim1+13)=Année_Calendaire,MONTH(Mar_Dim1+13)=3),Mar_Dim1+13,""),IF(AND(YEAR(Mar_Dim1+20)=Année_Calendaire,MONTH(Mar_Dim1+20)=3),Mar_Dim1+20,""))</f>
        <v>42448</v>
      </c>
      <c r="AA42" s="54">
        <f>IF(DAY(Mar_Dim1)=1,IF(AND(YEAR(Mar_Dim1+14)=Année_Calendaire,MONTH(Mar_Dim1+14)=3),Mar_Dim1+14,""),IF(AND(YEAR(Mar_Dim1+21)=Année_Calendaire,MONTH(Mar_Dim1+21)=3),Mar_Dim1+21,""))</f>
        <v>42449</v>
      </c>
      <c r="AB42" s="73"/>
      <c r="AC42" s="54"/>
      <c r="AD42" s="54">
        <f>IF(DAY(Mar_Dim1)=1,IF(AND(YEAR(Mar_Dim1+15)=Année_Calendaire,MONTH(Mar_Dim1+15)=3),Mar_Dim1+15,""),IF(AND(YEAR(Mar_Dim1+22)=Année_Calendaire,MONTH(Mar_Dim1+22)=3),Mar_Dim1+22,""))</f>
        <v>42450</v>
      </c>
      <c r="AE42" s="54">
        <f>IF(DAY(Mar_Dim1)=1,IF(AND(YEAR(Mar_Dim1+16)=Année_Calendaire,MONTH(Mar_Dim1+16)=3),Mar_Dim1+16,""),IF(AND(YEAR(Mar_Dim1+23)=Année_Calendaire,MONTH(Mar_Dim1+23)=3),Mar_Dim1+23,""))</f>
        <v>42451</v>
      </c>
      <c r="AF42" s="54">
        <f>IF(DAY(Mar_Dim1)=1,IF(AND(YEAR(Mar_Dim1+17)=Année_Calendaire,MONTH(Mar_Dim1+17)=3),Mar_Dim1+17,""),IF(AND(YEAR(Mar_Dim1+24)=Année_Calendaire,MONTH(Mar_Dim1+24)=3),Mar_Dim1+24,""))</f>
        <v>42452</v>
      </c>
      <c r="AG42" s="54">
        <f>IF(DAY(Mar_Dim1)=1,IF(AND(YEAR(Mar_Dim1+18)=Année_Calendaire,MONTH(Mar_Dim1+18)=3),Mar_Dim1+18,""),IF(AND(YEAR(Mar_Dim1+25)=Année_Calendaire,MONTH(Mar_Dim1+25)=3),Mar_Dim1+25,""))</f>
        <v>42453</v>
      </c>
      <c r="AH42" s="54">
        <f>IF(DAY(Mar_Dim1)=1,IF(AND(YEAR(Mar_Dim1+19)=Année_Calendaire,MONTH(Mar_Dim1+19)=3),Mar_Dim1+19,""),IF(AND(YEAR(Mar_Dim1+26)=Année_Calendaire,MONTH(Mar_Dim1+26)=3),Mar_Dim1+26,""))</f>
        <v>42454</v>
      </c>
      <c r="AI42" s="54">
        <f>IF(DAY(Mar_Dim1)=1,IF(AND(YEAR(Mar_Dim1+20)=Année_Calendaire,MONTH(Mar_Dim1+20)=3),Mar_Dim1+20,""),IF(AND(YEAR(Mar_Dim1+27)=Année_Calendaire,MONTH(Mar_Dim1+27)=3),Mar_Dim1+27,""))</f>
        <v>42455</v>
      </c>
      <c r="AJ42" s="54">
        <f>IF(DAY(Mar_Dim1)=1,IF(AND(YEAR(Mar_Dim1+21)=Année_Calendaire,MONTH(Mar_Dim1+21)=3),Mar_Dim1+21,""),IF(AND(YEAR(Mar_Dim1+28)=Année_Calendaire,MONTH(Mar_Dim1+28)=3),Mar_Dim1+28,""))</f>
        <v>42456</v>
      </c>
      <c r="AK42" s="73"/>
      <c r="AL42" s="54"/>
      <c r="AM42" s="54">
        <f>IF(DAY(Mar_Dim1)=1,IF(AND(YEAR(Mar_Dim1+22)=Année_Calendaire,MONTH(Mar_Dim1+22)=3),Mar_Dim1+22,""),IF(AND(YEAR(Mar_Dim1+29)=Année_Calendaire,MONTH(Mar_Dim1+29)=3),Mar_Dim1+29,""))</f>
        <v>42457</v>
      </c>
      <c r="AN42" s="54">
        <f>IF(DAY(Mar_Dim1)=1,IF(AND(YEAR(Mar_Dim1+23)=Année_Calendaire,MONTH(Mar_Dim1+23)=3),Mar_Dim1+23,""),IF(AND(YEAR(Mar_Dim1+30)=Année_Calendaire,MONTH(Mar_Dim1+30)=3),Mar_Dim1+30,""))</f>
        <v>42458</v>
      </c>
      <c r="AO42" s="54">
        <f>IF(DAY(Mar_Dim1)=1,IF(AND(YEAR(Mar_Dim1+24)=Année_Calendaire,MONTH(Mar_Dim1+24)=3),Mar_Dim1+24,""),IF(AND(YEAR(Mar_Dim1+31)=Année_Calendaire,MONTH(Mar_Dim1+31)=3),Mar_Dim1+31,""))</f>
        <v>42459</v>
      </c>
      <c r="AP42" s="54">
        <f>IF(DAY(Mar_Dim1)=1,IF(AND(YEAR(Mar_Dim1+25)=Année_Calendaire,MONTH(Mar_Dim1+25)=3),Mar_Dim1+25,""),IF(AND(YEAR(Mar_Dim1+32)=Année_Calendaire,MONTH(Mar_Dim1+32)=3),Mar_Dim1+32,""))</f>
        <v>42460</v>
      </c>
      <c r="AQ42" s="54" t="str">
        <f>IF(DAY(Mar_Dim1)=1,IF(AND(YEAR(Mar_Dim1+26)=Année_Calendaire,MONTH(Mar_Dim1+26)=3),Mar_Dim1+26,""),IF(AND(YEAR(Mar_Dim1+33)=Année_Calendaire,MONTH(Mar_Dim1+33)=3),Mar_Dim1+33,""))</f>
        <v/>
      </c>
      <c r="AR42" s="54" t="str">
        <f>IF(DAY(Mar_Dim1)=1,IF(AND(YEAR(Mar_Dim1+27)=Année_Calendaire,MONTH(Mar_Dim1+27)=3),Mar_Dim1+27,""),IF(AND(YEAR(Mar_Dim1+34)=Année_Calendaire,MONTH(Mar_Dim1+34)=3),Mar_Dim1+34,""))</f>
        <v/>
      </c>
      <c r="AS42" s="54" t="str">
        <f>IF(DAY(Mar_Dim1)=1,IF(AND(YEAR(Mar_Dim1+28)=Année_Calendaire,MONTH(Mar_Dim1+28)=3),Mar_Dim1+28,""),IF(AND(YEAR(Mar_Dim1+35)=Année_Calendaire,MONTH(Mar_Dim1+35)=3),Mar_Dim1+35,""))</f>
        <v/>
      </c>
      <c r="AT42" s="73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73"/>
      <c r="AY42" s="73"/>
      <c r="AZ42" s="74"/>
      <c r="BA42" s="74"/>
      <c r="BB42" s="32"/>
      <c r="BC42" s="32"/>
      <c r="BD42" s="32"/>
      <c r="BE42" s="32"/>
      <c r="BF42" s="24"/>
    </row>
    <row r="43" spans="1:59" s="5" customFormat="1" ht="15" customHeight="1" x14ac:dyDescent="0.25">
      <c r="A43" s="48" t="s">
        <v>2</v>
      </c>
      <c r="B43" s="48"/>
      <c r="C43" s="49" t="str">
        <f>IF(C42="","",IFERROR(VLOOKUP(B41,DATA!$A:$H,2,TRUE),0))</f>
        <v/>
      </c>
      <c r="D43" s="49">
        <f>IF(D42="","",IFERROR(VLOOKUP(B41,DATA!$A:$H,3,TRUE),0))</f>
        <v>0</v>
      </c>
      <c r="E43" s="49">
        <f>IF(E42="","",IFERROR(VLOOKUP(B41,DATA!$A:$H,4,TRUE),0))</f>
        <v>0</v>
      </c>
      <c r="F43" s="49" t="str">
        <f>IF(F42="","",IFERROR(VLOOKUP(B41,DATA!$A:$H,5,TRUE),0))</f>
        <v>matin</v>
      </c>
      <c r="G43" s="49" t="str">
        <f>IF(G42="","",IFERROR(VLOOKUP(B41,DATA!$A:$H,6,TRUE),0))</f>
        <v>matin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am</v>
      </c>
      <c r="M43" s="49" t="str">
        <f>IF(M42="","",IFERROR(VLOOKUP(K41,DATA!$A:$H,3,TRUE),0))</f>
        <v>am</v>
      </c>
      <c r="N43" s="49" t="str">
        <f>IF(N42="","",IFERROR(VLOOKUP(K41,DATA!$A:$H,4,TRUE),0))</f>
        <v>am</v>
      </c>
      <c r="O43" s="49" t="str">
        <f>IF(O42="","",IFERROR(VLOOKUP(K41,DATA!$A:$H,5,TRUE),0))</f>
        <v>am</v>
      </c>
      <c r="P43" s="49" t="str">
        <f>IF(P42="","",IFERROR(VLOOKUP(K41,DATA!$A:$H,6,TRUE),0))</f>
        <v>am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matin</v>
      </c>
      <c r="V43" s="49" t="str">
        <f>IF(V42="","",IFERROR(VLOOKUP(T41,DATA!$A:$H,3,TRUE),0))</f>
        <v>matin</v>
      </c>
      <c r="W43" s="49" t="str">
        <f>IF(W42="","",IFERROR(VLOOKUP(T41,DATA!$A:$H,4,TRUE),0))</f>
        <v>matin</v>
      </c>
      <c r="X43" s="49">
        <f>IF(X42="","",IFERROR(VLOOKUP(T41,DATA!$A:$H,5,TRUE),0))</f>
        <v>0</v>
      </c>
      <c r="Y43" s="49">
        <f>IF(Y42="","",IFERROR(VLOOKUP(T41,DATA!$A:$H,6,TRUE),0))</f>
        <v>0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nuit</v>
      </c>
      <c r="AE43" s="49" t="str">
        <f>IF(AE42="","",IFERROR(VLOOKUP(AC41,DATA!$A:$H,3,TRUE),0))</f>
        <v>nuit</v>
      </c>
      <c r="AF43" s="49" t="str">
        <f>IF(AF42="","",IFERROR(VLOOKUP(AC41,DATA!$A:$H,4,TRUE),0))</f>
        <v>nuit</v>
      </c>
      <c r="AG43" s="49" t="str">
        <f>IF(AG42="","",IFERROR(VLOOKUP(AC41,DATA!$A:$H,5,TRUE),0))</f>
        <v>nuit</v>
      </c>
      <c r="AH43" s="49" t="str">
        <f>IF(AH42="","",IFERROR(VLOOKUP(AC41,DATA!$A:$H,6,TRUE),0))</f>
        <v>nuit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matin</v>
      </c>
      <c r="AN43" s="49">
        <f>IF(AN42="","",IFERROR(VLOOKUP(AL41,DATA!$A:$H,3,TRUE),0))</f>
        <v>0</v>
      </c>
      <c r="AO43" s="49">
        <f>IF(AO42="","",IFERROR(VLOOKUP(AL41,DATA!$A:$H,4,TRUE),0))</f>
        <v>0</v>
      </c>
      <c r="AP43" s="49" t="str">
        <f>IF(AP42="","",IFERROR(VLOOKUP(AL41,DATA!$A:$H,5,TRUE),0))</f>
        <v>matin</v>
      </c>
      <c r="AQ43" s="49" t="str">
        <f>IF(AQ42="","",IFERROR(VLOOKUP(AL41,DATA!$A:$H,6,TRUE),0))</f>
        <v/>
      </c>
      <c r="AR43" s="49" t="str">
        <f>IF(AR42="","",IFERROR(VLOOKUP(AL41,DATA!$A:$H,7,TRUE),0))</f>
        <v/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1</v>
      </c>
      <c r="G44" s="52">
        <f t="shared" si="122"/>
        <v>1</v>
      </c>
      <c r="H44" s="52">
        <f t="shared" si="122"/>
        <v>0</v>
      </c>
      <c r="I44" s="52">
        <f t="shared" si="122"/>
        <v>0</v>
      </c>
      <c r="J44" s="52">
        <f>SUM(C44:I44)</f>
        <v>2</v>
      </c>
      <c r="K44" s="51"/>
      <c r="L44" s="52">
        <f t="shared" ref="L44:R44" si="123">IF(L43="Matin",1,IF(L43="AM",1,0))</f>
        <v>1</v>
      </c>
      <c r="M44" s="52">
        <f t="shared" si="123"/>
        <v>1</v>
      </c>
      <c r="N44" s="52">
        <f t="shared" si="123"/>
        <v>1</v>
      </c>
      <c r="O44" s="52">
        <f t="shared" si="123"/>
        <v>1</v>
      </c>
      <c r="P44" s="52">
        <f t="shared" si="123"/>
        <v>1</v>
      </c>
      <c r="Q44" s="52">
        <f t="shared" si="123"/>
        <v>0</v>
      </c>
      <c r="R44" s="52">
        <f t="shared" si="123"/>
        <v>0</v>
      </c>
      <c r="S44" s="52">
        <f>SUM(L44:R44)</f>
        <v>5</v>
      </c>
      <c r="T44" s="51"/>
      <c r="U44" s="52">
        <f t="shared" ref="U44:AA44" si="124">IF(U43="Matin",1,IF(U43="AM",1,0))</f>
        <v>1</v>
      </c>
      <c r="V44" s="52">
        <f t="shared" si="124"/>
        <v>1</v>
      </c>
      <c r="W44" s="52">
        <f t="shared" si="124"/>
        <v>1</v>
      </c>
      <c r="X44" s="52">
        <f t="shared" si="124"/>
        <v>0</v>
      </c>
      <c r="Y44" s="52">
        <f t="shared" si="124"/>
        <v>0</v>
      </c>
      <c r="Z44" s="52">
        <f t="shared" si="124"/>
        <v>0</v>
      </c>
      <c r="AA44" s="52">
        <f t="shared" si="124"/>
        <v>0</v>
      </c>
      <c r="AB44" s="52">
        <f>SUM(U44:AA44)</f>
        <v>3</v>
      </c>
      <c r="AC44" s="51"/>
      <c r="AD44" s="52">
        <f t="shared" ref="AD44:AJ44" si="125">IF(AD43="Matin",1,IF(AD43="AM",1,0))</f>
        <v>0</v>
      </c>
      <c r="AE44" s="52">
        <f t="shared" si="125"/>
        <v>0</v>
      </c>
      <c r="AF44" s="52">
        <f t="shared" si="125"/>
        <v>0</v>
      </c>
      <c r="AG44" s="52">
        <f t="shared" si="125"/>
        <v>0</v>
      </c>
      <c r="AH44" s="52">
        <f t="shared" si="125"/>
        <v>0</v>
      </c>
      <c r="AI44" s="52">
        <f t="shared" si="125"/>
        <v>0</v>
      </c>
      <c r="AJ44" s="52">
        <f t="shared" si="125"/>
        <v>0</v>
      </c>
      <c r="AK44" s="52">
        <f>SUM(AD44:AJ44)</f>
        <v>0</v>
      </c>
      <c r="AL44" s="51"/>
      <c r="AM44" s="52">
        <f t="shared" ref="AM44:AS44" si="126">IF(AM43="Matin",1,IF(AM43="AM",1,0))</f>
        <v>1</v>
      </c>
      <c r="AN44" s="52">
        <f t="shared" si="126"/>
        <v>0</v>
      </c>
      <c r="AO44" s="52">
        <f t="shared" si="126"/>
        <v>0</v>
      </c>
      <c r="AP44" s="52">
        <f t="shared" si="126"/>
        <v>1</v>
      </c>
      <c r="AQ44" s="52">
        <f t="shared" si="126"/>
        <v>0</v>
      </c>
      <c r="AR44" s="52">
        <f t="shared" si="126"/>
        <v>0</v>
      </c>
      <c r="AS44" s="52">
        <f t="shared" si="126"/>
        <v>0</v>
      </c>
      <c r="AT44" s="52">
        <f>SUM(AM44:AS44)</f>
        <v>2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12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0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2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5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0</v>
      </c>
      <c r="Y45" s="49">
        <f t="shared" si="133"/>
        <v>0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3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5</v>
      </c>
      <c r="AL45" s="48"/>
      <c r="AM45" s="49">
        <f>IF(AM46&gt;=1,1,0)</f>
        <v>1</v>
      </c>
      <c r="AN45" s="49">
        <f t="shared" ref="AN45:AS45" si="137">IF(AN46&gt;=1,1,0)</f>
        <v>0</v>
      </c>
      <c r="AO45" s="49">
        <f t="shared" si="137"/>
        <v>0</v>
      </c>
      <c r="AP45" s="49">
        <f t="shared" si="137"/>
        <v>1</v>
      </c>
      <c r="AQ45" s="49">
        <f t="shared" si="137"/>
        <v>0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2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17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0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16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40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0</v>
      </c>
      <c r="Y46" s="52">
        <f t="shared" si="143"/>
        <v>0</v>
      </c>
      <c r="Z46" s="52">
        <f t="shared" si="143"/>
        <v>0</v>
      </c>
      <c r="AA46" s="52">
        <f t="shared" si="143"/>
        <v>0</v>
      </c>
      <c r="AB46" s="52">
        <f t="shared" si="134"/>
        <v>24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40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0</v>
      </c>
      <c r="AO46" s="52">
        <f t="shared" si="145"/>
        <v>0</v>
      </c>
      <c r="AP46" s="52">
        <f t="shared" si="145"/>
        <v>8</v>
      </c>
      <c r="AQ46" s="52">
        <f t="shared" si="145"/>
        <v>0</v>
      </c>
      <c r="AR46" s="52">
        <f t="shared" si="145"/>
        <v>0</v>
      </c>
      <c r="AS46" s="52">
        <f t="shared" si="145"/>
        <v>0</v>
      </c>
      <c r="AT46" s="52">
        <f t="shared" si="138"/>
        <v>16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136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48" t="s">
        <v>20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3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3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0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0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3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3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5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5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0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0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5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5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48" t="s">
        <v>44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0.16</v>
      </c>
      <c r="AE55" s="49">
        <f>IF(AE43="nuit",AE46*0.02,0)</f>
        <v>0.16</v>
      </c>
      <c r="AF55" s="49">
        <f t="shared" ref="AF55:AJ55" si="156">IF(AF43="nuit",AF46*0.02,0)</f>
        <v>0.16</v>
      </c>
      <c r="AG55" s="49">
        <f t="shared" si="156"/>
        <v>0.16</v>
      </c>
      <c r="AH55" s="49">
        <f>IF(AH43="nuit",AH46*0.02,0)</f>
        <v>0.16</v>
      </c>
      <c r="AI55" s="49">
        <f t="shared" si="156"/>
        <v>0</v>
      </c>
      <c r="AJ55" s="49">
        <f t="shared" si="156"/>
        <v>0</v>
      </c>
      <c r="AK55" s="52">
        <f t="shared" si="136"/>
        <v>0.8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51" t="s">
        <v>31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72">
        <f>Année_Calendaire</f>
        <v>2016</v>
      </c>
      <c r="I58" s="72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22</v>
      </c>
      <c r="V58" s="19"/>
      <c r="W58" s="19"/>
      <c r="X58" s="19"/>
      <c r="Y58" s="19"/>
      <c r="Z58" s="72">
        <f>Année_Calendaire</f>
        <v>2016</v>
      </c>
      <c r="AA58" s="72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22</v>
      </c>
      <c r="AN58" s="19"/>
      <c r="AO58" s="19"/>
      <c r="AP58" s="19"/>
      <c r="AQ58" s="19"/>
      <c r="AR58" s="72">
        <f>Année_Calendaire</f>
        <v>2016</v>
      </c>
      <c r="AS58" s="72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55" t="str">
        <f>IF(AU41&lt;&gt;"",AU41,IF(AL41="C1","C2",IF(AL41="C2","C3",IF(AL41="C3","C4",IF(AL41="C4","C1","")))))</f>
        <v>C4</v>
      </c>
      <c r="C59" s="53" t="s">
        <v>13</v>
      </c>
      <c r="D59" s="53" t="s">
        <v>14</v>
      </c>
      <c r="E59" s="53" t="s">
        <v>15</v>
      </c>
      <c r="F59" s="53" t="s">
        <v>16</v>
      </c>
      <c r="G59" s="53" t="s">
        <v>17</v>
      </c>
      <c r="H59" s="53" t="s">
        <v>18</v>
      </c>
      <c r="I59" s="53" t="s">
        <v>19</v>
      </c>
      <c r="J59" s="73" t="s">
        <v>32</v>
      </c>
      <c r="K59" s="55" t="str">
        <f>IF(B59="C1","C2",IF(B59="C2","C3",IF(B59="C3","C4",IF(B59="C4","C1",""))))</f>
        <v>C1</v>
      </c>
      <c r="L59" s="53" t="str">
        <f>IF(L60&lt;&gt;"","Lun","")</f>
        <v>Lun</v>
      </c>
      <c r="M59" s="53" t="str">
        <f>IF(M60&lt;&gt;"","Mar","")</f>
        <v>Mar</v>
      </c>
      <c r="N59" s="53" t="str">
        <f>IF(N60&lt;&gt;"","Mer","")</f>
        <v>Mer</v>
      </c>
      <c r="O59" s="53" t="str">
        <f>IF(O60&lt;&gt;"","Jeu","")</f>
        <v>Jeu</v>
      </c>
      <c r="P59" s="53" t="str">
        <f>IF(P60&lt;&gt;"","Ven","")</f>
        <v>Ven</v>
      </c>
      <c r="Q59" s="53" t="str">
        <f>IF(Q60&lt;&gt;"","Sam","")</f>
        <v>Sam</v>
      </c>
      <c r="R59" s="53" t="str">
        <f>IF(R60&lt;&gt;"","Dim","")</f>
        <v>Dim</v>
      </c>
      <c r="S59" s="73" t="s">
        <v>32</v>
      </c>
      <c r="T59" s="55" t="str">
        <f>IF(K59="C1","C2",IF(K59="C2","C3",IF(K59="C3","C4",IF(K59="C4","C1",""))))</f>
        <v>C2</v>
      </c>
      <c r="U59" s="53" t="str">
        <f>IF(U60&lt;&gt;"","Lun","")</f>
        <v>Lun</v>
      </c>
      <c r="V59" s="53" t="str">
        <f>IF(V60&lt;&gt;"","Mar","")</f>
        <v>Mar</v>
      </c>
      <c r="W59" s="53" t="str">
        <f>IF(W60&lt;&gt;"","Mer","")</f>
        <v>Mer</v>
      </c>
      <c r="X59" s="53" t="str">
        <f>IF(X60&lt;&gt;"","Jeu","")</f>
        <v>Jeu</v>
      </c>
      <c r="Y59" s="53" t="str">
        <f>IF(Y60&lt;&gt;"","Ven","")</f>
        <v>Ven</v>
      </c>
      <c r="Z59" s="53" t="str">
        <f>IF(Z60&lt;&gt;"","Sam","")</f>
        <v>Sam</v>
      </c>
      <c r="AA59" s="53" t="str">
        <f>IF(AA60&lt;&gt;"","Dim","")</f>
        <v>Dim</v>
      </c>
      <c r="AB59" s="73" t="s">
        <v>32</v>
      </c>
      <c r="AC59" s="55" t="str">
        <f>IF(T59="C1","C2",IF(T59="C2","C3",IF(T59="C3","C4",IF(T59="C4","C1",""))))</f>
        <v>C3</v>
      </c>
      <c r="AD59" s="53" t="str">
        <f>IF(AD60&lt;&gt;"","Lun","")</f>
        <v>Lun</v>
      </c>
      <c r="AE59" s="53" t="str">
        <f>IF(AE60&lt;&gt;"","Mar","")</f>
        <v>Mar</v>
      </c>
      <c r="AF59" s="53" t="str">
        <f>IF(AF60&lt;&gt;"","Mer","")</f>
        <v>Mer</v>
      </c>
      <c r="AG59" s="53" t="str">
        <f>IF(AG60&lt;&gt;"","Jeu","")</f>
        <v>Jeu</v>
      </c>
      <c r="AH59" s="53" t="str">
        <f>IF(AH60&lt;&gt;"","Ven","")</f>
        <v>Ven</v>
      </c>
      <c r="AI59" s="53" t="str">
        <f>IF(AI60&lt;&gt;"","Sam","")</f>
        <v>Sam</v>
      </c>
      <c r="AJ59" s="53" t="str">
        <f>IF(AJ60&lt;&gt;"","Dim","")</f>
        <v>Dim</v>
      </c>
      <c r="AK59" s="73" t="s">
        <v>32</v>
      </c>
      <c r="AL59" s="55" t="str">
        <f>IF(AC59="C1","C2",IF(AC59="C2","C3",IF(AC59="C3","C4",IF(AC59="C4","C1",""))))</f>
        <v>C4</v>
      </c>
      <c r="AM59" s="53" t="str">
        <f>IF(AM60&lt;&gt;"","Lun","")</f>
        <v>Lun</v>
      </c>
      <c r="AN59" s="53" t="str">
        <f>IF(AN60&lt;&gt;"","Mar","")</f>
        <v>Mar</v>
      </c>
      <c r="AO59" s="53" t="str">
        <f>IF(AO60&lt;&gt;"","Mer","")</f>
        <v>Mer</v>
      </c>
      <c r="AP59" s="53" t="str">
        <f>IF(AP60&lt;&gt;"","Jeu","")</f>
        <v>Jeu</v>
      </c>
      <c r="AQ59" s="53" t="str">
        <f>IF(AQ60&lt;&gt;"","Ven","")</f>
        <v>Ven</v>
      </c>
      <c r="AR59" s="53" t="str">
        <f>IF(AR60&lt;&gt;"","Sam","")</f>
        <v>Sam</v>
      </c>
      <c r="AS59" s="53" t="str">
        <f>IF(AS60&lt;&gt;"","Dim","")</f>
        <v/>
      </c>
      <c r="AT59" s="73" t="s">
        <v>32</v>
      </c>
      <c r="AU59" s="55" t="str">
        <f>IF(AV59&lt;&gt;"",IF(AL59="C1","C2",IF(AL59="C2","C3",IF(AL59="C3","C4",IF(AL59="C4","C1","")))),"")</f>
        <v/>
      </c>
      <c r="AV59" s="53" t="str">
        <f>IF(AV60&lt;&gt;"","Lun","")</f>
        <v/>
      </c>
      <c r="AW59" s="53" t="str">
        <f>IF(AW60&lt;&gt;"","Mar","")</f>
        <v/>
      </c>
      <c r="AX59" s="73" t="s">
        <v>32</v>
      </c>
      <c r="AY59" s="73" t="s">
        <v>35</v>
      </c>
      <c r="AZ59" s="74">
        <f>AY66+AY67+AY68</f>
        <v>10</v>
      </c>
      <c r="BA59" s="74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54"/>
      <c r="C60" s="54" t="str">
        <f>IF(DAY(Avr_Dim1)=1,"",IF(AND(YEAR(Avr_Dim1+1)=Année_Calendaire,MONTH(Avr_Dim1+1)=4),Avr_Dim1+1,""))</f>
        <v/>
      </c>
      <c r="D60" s="54" t="str">
        <f>IF(DAY(Avr_Dim1)=1,"",IF(AND(YEAR(Avr_Dim1+2)=Année_Calendaire,MONTH(Avr_Dim1+2)=4),Avr_Dim1+2,""))</f>
        <v/>
      </c>
      <c r="E60" s="54" t="str">
        <f>IF(DAY(Avr_Dim1)=1,"",IF(AND(YEAR(Avr_Dim1+3)=Année_Calendaire,MONTH(Avr_Dim1+3)=4),Avr_Dim1+3,""))</f>
        <v/>
      </c>
      <c r="F60" s="54" t="str">
        <f>IF(DAY(Avr_Dim1)=1,"",IF(AND(YEAR(Avr_Dim1+4)=Année_Calendaire,MONTH(Avr_Dim1+4)=4),Avr_Dim1+4,""))</f>
        <v/>
      </c>
      <c r="G60" s="54">
        <f>IF(DAY(Avr_Dim1)=1,"",IF(AND(YEAR(Avr_Dim1+5)=Année_Calendaire,MONTH(Avr_Dim1+5)=4),Avr_Dim1+5,""))</f>
        <v>42461</v>
      </c>
      <c r="H60" s="54">
        <f>IF(DAY(Avr_Dim1)=1,"",IF(AND(YEAR(Avr_Dim1+6)=Année_Calendaire,MONTH(Avr_Dim1+6)=4),Avr_Dim1+6,""))</f>
        <v>42462</v>
      </c>
      <c r="I60" s="54">
        <f>IF(DAY(Avr_Dim1)=1,IF(AND(YEAR(Avr_Dim1)=Année_Calendaire,MONTH(Avr_Dim1)=4),Avr_Dim1,""),IF(AND(YEAR(Avr_Dim1+7)=Année_Calendaire,MONTH(Avr_Dim1+7)=4),Avr_Dim1+7,""))</f>
        <v>42463</v>
      </c>
      <c r="J60" s="73"/>
      <c r="K60" s="54"/>
      <c r="L60" s="54">
        <f>IF(DAY(Avr_Dim1)=1,IF(AND(YEAR(Avr_Dim1+1)=Année_Calendaire,MONTH(Avr_Dim1+1)=4),Avr_Dim1+1,""),IF(AND(YEAR(Avr_Dim1+8)=Année_Calendaire,MONTH(Avr_Dim1+8)=4),Avr_Dim1+8,""))</f>
        <v>42464</v>
      </c>
      <c r="M60" s="54">
        <f>IF(DAY(Avr_Dim1)=1,IF(AND(YEAR(Avr_Dim1+2)=Année_Calendaire,MONTH(Avr_Dim1+2)=4),Avr_Dim1+2,""),IF(AND(YEAR(Avr_Dim1+9)=Année_Calendaire,MONTH(Avr_Dim1+9)=4),Avr_Dim1+9,""))</f>
        <v>42465</v>
      </c>
      <c r="N60" s="54">
        <f>IF(DAY(Avr_Dim1)=1,IF(AND(YEAR(Avr_Dim1+3)=Année_Calendaire,MONTH(Avr_Dim1+3)=4),Avr_Dim1+3,""),IF(AND(YEAR(Avr_Dim1+10)=Année_Calendaire,MONTH(Avr_Dim1+10)=4),Avr_Dim1+10,""))</f>
        <v>42466</v>
      </c>
      <c r="O60" s="54">
        <f>IF(DAY(Avr_Dim1)=1,IF(AND(YEAR(Avr_Dim1+4)=Année_Calendaire,MONTH(Avr_Dim1+4)=4),Avr_Dim1+4,""),IF(AND(YEAR(Avr_Dim1+11)=Année_Calendaire,MONTH(Avr_Dim1+11)=4),Avr_Dim1+11,""))</f>
        <v>42467</v>
      </c>
      <c r="P60" s="54">
        <f>IF(DAY(Avr_Dim1)=1,IF(AND(YEAR(Avr_Dim1+5)=Année_Calendaire,MONTH(Avr_Dim1+5)=4),Avr_Dim1+5,""),IF(AND(YEAR(Avr_Dim1+12)=Année_Calendaire,MONTH(Avr_Dim1+12)=4),Avr_Dim1+12,""))</f>
        <v>42468</v>
      </c>
      <c r="Q60" s="54">
        <f>IF(DAY(Avr_Dim1)=1,IF(AND(YEAR(Avr_Dim1+6)=Année_Calendaire,MONTH(Avr_Dim1+6)=4),Avr_Dim1+6,""),IF(AND(YEAR(Avr_Dim1+13)=Année_Calendaire,MONTH(Avr_Dim1+13)=4),Avr_Dim1+13,""))</f>
        <v>42469</v>
      </c>
      <c r="R60" s="54">
        <f>IF(DAY(Avr_Dim1)=1,IF(AND(YEAR(Avr_Dim1+7)=Année_Calendaire,MONTH(Avr_Dim1+7)=4),Avr_Dim1+7,""),IF(AND(YEAR(Avr_Dim1+14)=Année_Calendaire,MONTH(Avr_Dim1+14)=4),Avr_Dim1+14,""))</f>
        <v>42470</v>
      </c>
      <c r="S60" s="73"/>
      <c r="T60" s="54"/>
      <c r="U60" s="54">
        <f>IF(DAY(Avr_Dim1)=1,IF(AND(YEAR(Avr_Dim1+8)=Année_Calendaire,MONTH(Avr_Dim1+8)=4),Avr_Dim1+8,""),IF(AND(YEAR(Avr_Dim1+15)=Année_Calendaire,MONTH(Avr_Dim1+15)=4),Avr_Dim1+15,""))</f>
        <v>42471</v>
      </c>
      <c r="V60" s="54">
        <f>IF(DAY(Avr_Dim1)=1,IF(AND(YEAR(Avr_Dim1+9)=Année_Calendaire,MONTH(Avr_Dim1+9)=4),Avr_Dim1+9,""),IF(AND(YEAR(Avr_Dim1+16)=Année_Calendaire,MONTH(Avr_Dim1+16)=4),Avr_Dim1+16,""))</f>
        <v>42472</v>
      </c>
      <c r="W60" s="54">
        <f>IF(DAY(Avr_Dim1)=1,IF(AND(YEAR(Avr_Dim1+10)=Année_Calendaire,MONTH(Avr_Dim1+10)=4),Avr_Dim1+10,""),IF(AND(YEAR(Avr_Dim1+17)=Année_Calendaire,MONTH(Avr_Dim1+17)=4),Avr_Dim1+17,""))</f>
        <v>42473</v>
      </c>
      <c r="X60" s="54">
        <f>IF(DAY(Avr_Dim1)=1,IF(AND(YEAR(Avr_Dim1+11)=Année_Calendaire,MONTH(Avr_Dim1+11)=4),Avr_Dim1+11,""),IF(AND(YEAR(Avr_Dim1+18)=Année_Calendaire,MONTH(Avr_Dim1+18)=4),Avr_Dim1+18,""))</f>
        <v>42474</v>
      </c>
      <c r="Y60" s="54">
        <f>IF(DAY(Avr_Dim1)=1,IF(AND(YEAR(Avr_Dim1+12)=Année_Calendaire,MONTH(Avr_Dim1+12)=4),Avr_Dim1+12,""),IF(AND(YEAR(Avr_Dim1+19)=Année_Calendaire,MONTH(Avr_Dim1+19)=4),Avr_Dim1+19,""))</f>
        <v>42475</v>
      </c>
      <c r="Z60" s="54">
        <f>IF(DAY(Avr_Dim1)=1,IF(AND(YEAR(Avr_Dim1+13)=Année_Calendaire,MONTH(Avr_Dim1+13)=4),Avr_Dim1+13,""),IF(AND(YEAR(Avr_Dim1+20)=Année_Calendaire,MONTH(Avr_Dim1+20)=4),Avr_Dim1+20,""))</f>
        <v>42476</v>
      </c>
      <c r="AA60" s="54">
        <f>IF(DAY(Avr_Dim1)=1,IF(AND(YEAR(Avr_Dim1+14)=Année_Calendaire,MONTH(Avr_Dim1+14)=4),Avr_Dim1+14,""),IF(AND(YEAR(Avr_Dim1+21)=Année_Calendaire,MONTH(Avr_Dim1+21)=4),Avr_Dim1+21,""))</f>
        <v>42477</v>
      </c>
      <c r="AB60" s="73"/>
      <c r="AC60" s="54"/>
      <c r="AD60" s="54">
        <f>IF(DAY(Avr_Dim1)=1,IF(AND(YEAR(Avr_Dim1+15)=Année_Calendaire,MONTH(Avr_Dim1+15)=4),Avr_Dim1+15,""),IF(AND(YEAR(Avr_Dim1+22)=Année_Calendaire,MONTH(Avr_Dim1+22)=4),Avr_Dim1+22,""))</f>
        <v>42478</v>
      </c>
      <c r="AE60" s="54">
        <f>IF(DAY(Avr_Dim1)=1,IF(AND(YEAR(Avr_Dim1+16)=Année_Calendaire,MONTH(Avr_Dim1+16)=4),Avr_Dim1+16,""),IF(AND(YEAR(Avr_Dim1+23)=Année_Calendaire,MONTH(Avr_Dim1+23)=4),Avr_Dim1+23,""))</f>
        <v>42479</v>
      </c>
      <c r="AF60" s="54">
        <f>IF(DAY(Avr_Dim1)=1,IF(AND(YEAR(Avr_Dim1+17)=Année_Calendaire,MONTH(Avr_Dim1+17)=4),Avr_Dim1+17,""),IF(AND(YEAR(Avr_Dim1+24)=Année_Calendaire,MONTH(Avr_Dim1+24)=4),Avr_Dim1+24,""))</f>
        <v>42480</v>
      </c>
      <c r="AG60" s="54">
        <f>IF(DAY(Avr_Dim1)=1,IF(AND(YEAR(Avr_Dim1+18)=Année_Calendaire,MONTH(Avr_Dim1+18)=4),Avr_Dim1+18,""),IF(AND(YEAR(Avr_Dim1+25)=Année_Calendaire,MONTH(Avr_Dim1+25)=4),Avr_Dim1+25,""))</f>
        <v>42481</v>
      </c>
      <c r="AH60" s="54">
        <f>IF(DAY(Avr_Dim1)=1,IF(AND(YEAR(Avr_Dim1+19)=Année_Calendaire,MONTH(Avr_Dim1+19)=4),Avr_Dim1+19,""),IF(AND(YEAR(Avr_Dim1+26)=Année_Calendaire,MONTH(Avr_Dim1+26)=4),Avr_Dim1+26,""))</f>
        <v>42482</v>
      </c>
      <c r="AI60" s="54">
        <f>IF(DAY(Avr_Dim1)=1,IF(AND(YEAR(Avr_Dim1+20)=Année_Calendaire,MONTH(Avr_Dim1+20)=4),Avr_Dim1+20,""),IF(AND(YEAR(Avr_Dim1+27)=Année_Calendaire,MONTH(Avr_Dim1+27)=4),Avr_Dim1+27,""))</f>
        <v>42483</v>
      </c>
      <c r="AJ60" s="54">
        <f>IF(DAY(Avr_Dim1)=1,IF(AND(YEAR(Avr_Dim1+21)=Année_Calendaire,MONTH(Avr_Dim1+21)=4),Avr_Dim1+21,""),IF(AND(YEAR(Avr_Dim1+28)=Année_Calendaire,MONTH(Avr_Dim1+28)=4),Avr_Dim1+28,""))</f>
        <v>42484</v>
      </c>
      <c r="AK60" s="73"/>
      <c r="AL60" s="54"/>
      <c r="AM60" s="54">
        <f>IF(DAY(Avr_Dim1)=1,IF(AND(YEAR(Avr_Dim1+22)=Année_Calendaire,MONTH(Avr_Dim1+22)=4),Avr_Dim1+22,""),IF(AND(YEAR(Avr_Dim1+29)=Année_Calendaire,MONTH(Avr_Dim1+29)=4),Avr_Dim1+29,""))</f>
        <v>42485</v>
      </c>
      <c r="AN60" s="54">
        <f>IF(DAY(Avr_Dim1)=1,IF(AND(YEAR(Avr_Dim1+23)=Année_Calendaire,MONTH(Avr_Dim1+23)=4),Avr_Dim1+23,""),IF(AND(YEAR(Avr_Dim1+30)=Année_Calendaire,MONTH(Avr_Dim1+30)=4),Avr_Dim1+30,""))</f>
        <v>42486</v>
      </c>
      <c r="AO60" s="54">
        <f>IF(DAY(Avr_Dim1)=1,IF(AND(YEAR(Avr_Dim1+24)=Année_Calendaire,MONTH(Avr_Dim1+24)=4),Avr_Dim1+24,""),IF(AND(YEAR(Avr_Dim1+31)=Année_Calendaire,MONTH(Avr_Dim1+31)=4),Avr_Dim1+31,""))</f>
        <v>42487</v>
      </c>
      <c r="AP60" s="54">
        <f>IF(DAY(Avr_Dim1)=1,IF(AND(YEAR(Avr_Dim1+25)=Année_Calendaire,MONTH(Avr_Dim1+25)=4),Avr_Dim1+25,""),IF(AND(YEAR(Avr_Dim1+32)=Année_Calendaire,MONTH(Avr_Dim1+32)=4),Avr_Dim1+32,""))</f>
        <v>42488</v>
      </c>
      <c r="AQ60" s="54">
        <f>IF(DAY(Avr_Dim1)=1,IF(AND(YEAR(Avr_Dim1+26)=Année_Calendaire,MONTH(Avr_Dim1+26)=4),Avr_Dim1+26,""),IF(AND(YEAR(Avr_Dim1+33)=Année_Calendaire,MONTH(Avr_Dim1+33)=4),Avr_Dim1+33,""))</f>
        <v>42489</v>
      </c>
      <c r="AR60" s="54">
        <f>IF(DAY(Avr_Dim1)=1,IF(AND(YEAR(Avr_Dim1+27)=Année_Calendaire,MONTH(Avr_Dim1+27)=4),Avr_Dim1+27,""),IF(AND(YEAR(Avr_Dim1+34)=Année_Calendaire,MONTH(Avr_Dim1+34)=4),Avr_Dim1+34,""))</f>
        <v>42490</v>
      </c>
      <c r="AS60" s="54" t="str">
        <f>IF(DAY(Avr_Dim1)=1,IF(AND(YEAR(Avr_Dim1+28)=Année_Calendaire,MONTH(Avr_Dim1+28)=4),Avr_Dim1+28,""),IF(AND(YEAR(Avr_Dim1+35)=Année_Calendaire,MONTH(Avr_Dim1+35)=4),Avr_Dim1+35,""))</f>
        <v/>
      </c>
      <c r="AT60" s="73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73"/>
      <c r="AY60" s="73"/>
      <c r="AZ60" s="74"/>
      <c r="BA60" s="74"/>
      <c r="BB60" s="32"/>
      <c r="BC60" s="32"/>
      <c r="BD60" s="32"/>
      <c r="BE60" s="32"/>
      <c r="BF60" s="24"/>
    </row>
    <row r="61" spans="1:59" s="5" customFormat="1" ht="15" customHeight="1" x14ac:dyDescent="0.25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>am</v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 t="str">
        <f>IF(M60="","",IFERROR(VLOOKUP(K59,DATA!$A:$H,3,TRUE),0))</f>
        <v>matin</v>
      </c>
      <c r="N61" s="49" t="str">
        <f>IF(N60="","",IFERROR(VLOOKUP(K59,DATA!$A:$H,4,TRUE),0))</f>
        <v>matin</v>
      </c>
      <c r="O61" s="49">
        <f>IF(O60="","",IFERROR(VLOOKUP(K59,DATA!$A:$H,5,TRUE),0))</f>
        <v>0</v>
      </c>
      <c r="P61" s="49">
        <f>IF(P60="","",IFERROR(VLOOKUP(K59,DATA!$A:$H,6,TRUE),0))</f>
        <v>0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nuit</v>
      </c>
      <c r="V61" s="49" t="str">
        <f>IF(V60="","",IFERROR(VLOOKUP(T59,DATA!$A:$H,3,TRUE),0))</f>
        <v>nuit</v>
      </c>
      <c r="W61" s="49" t="str">
        <f>IF(W60="","",IFERROR(VLOOKUP(T59,DATA!$A:$H,4,TRUE),0))</f>
        <v>nuit</v>
      </c>
      <c r="X61" s="49" t="str">
        <f>IF(X60="","",IFERROR(VLOOKUP(T59,DATA!$A:$H,5,TRUE),0))</f>
        <v>nuit</v>
      </c>
      <c r="Y61" s="49" t="str">
        <f>IF(Y60="","",IFERROR(VLOOKUP(T59,DATA!$A:$H,6,TRUE),0))</f>
        <v>nuit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>
        <f>IF(AE60="","",IFERROR(VLOOKUP(AC59,DATA!$A:$H,3,TRUE),0))</f>
        <v>0</v>
      </c>
      <c r="AF61" s="49">
        <f>IF(AF60="","",IFERROR(VLOOKUP(AC59,DATA!$A:$H,4,TRUE),0))</f>
        <v>0</v>
      </c>
      <c r="AG61" s="49" t="str">
        <f>IF(AG60="","",IFERROR(VLOOKUP(AC59,DATA!$A:$H,5,TRUE),0))</f>
        <v>matin</v>
      </c>
      <c r="AH61" s="49" t="str">
        <f>IF(AH60="","",IFERROR(VLOOKUP(AC59,DATA!$A:$H,6,TRUE),0))</f>
        <v>matin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am</v>
      </c>
      <c r="AN61" s="49" t="str">
        <f>IF(AN60="","",IFERROR(VLOOKUP(AL59,DATA!$A:$H,3,TRUE),0))</f>
        <v>am</v>
      </c>
      <c r="AO61" s="49" t="str">
        <f>IF(AO60="","",IFERROR(VLOOKUP(AL59,DATA!$A:$H,4,TRUE),0))</f>
        <v>am</v>
      </c>
      <c r="AP61" s="49" t="str">
        <f>IF(AP60="","",IFERROR(VLOOKUP(AL59,DATA!$A:$H,5,TRUE),0))</f>
        <v>am</v>
      </c>
      <c r="AQ61" s="49" t="str">
        <f>IF(AQ60="","",IFERROR(VLOOKUP(AL59,DATA!$A:$H,6,TRUE),0))</f>
        <v>am</v>
      </c>
      <c r="AR61" s="49">
        <f>IF(AR60="","",IFERROR(VLOOKUP(AL59,DATA!$A:$H,7,TRUE),0))</f>
        <v>0</v>
      </c>
      <c r="AS61" s="49" t="str">
        <f>IF(AS60="","",IFERROR(VLOOKUP(AL59,DATA!$A:$H,8,TRUE),0))</f>
        <v/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1</v>
      </c>
      <c r="H62" s="52">
        <f t="shared" si="158"/>
        <v>0</v>
      </c>
      <c r="I62" s="52">
        <f t="shared" si="158"/>
        <v>0</v>
      </c>
      <c r="J62" s="52">
        <f>SUM(C62:I62)</f>
        <v>1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0</v>
      </c>
      <c r="P62" s="52">
        <f t="shared" si="159"/>
        <v>0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0</v>
      </c>
      <c r="V62" s="52">
        <f t="shared" si="160"/>
        <v>0</v>
      </c>
      <c r="W62" s="52">
        <f t="shared" si="160"/>
        <v>0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0</v>
      </c>
      <c r="AC62" s="51"/>
      <c r="AD62" s="52">
        <f t="shared" ref="AD62:AJ62" si="161">IF(AD61="Matin",1,IF(AD61="AM",1,0))</f>
        <v>1</v>
      </c>
      <c r="AE62" s="52">
        <f t="shared" si="161"/>
        <v>0</v>
      </c>
      <c r="AF62" s="52">
        <f t="shared" si="161"/>
        <v>0</v>
      </c>
      <c r="AG62" s="52">
        <f t="shared" si="161"/>
        <v>1</v>
      </c>
      <c r="AH62" s="52">
        <f t="shared" si="161"/>
        <v>1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1</v>
      </c>
      <c r="AN62" s="52">
        <f t="shared" si="162"/>
        <v>1</v>
      </c>
      <c r="AO62" s="52">
        <f t="shared" si="162"/>
        <v>1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5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1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1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0</v>
      </c>
      <c r="P63" s="49">
        <f t="shared" si="167"/>
        <v>0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0</v>
      </c>
      <c r="AF63" s="49">
        <f t="shared" si="171"/>
        <v>0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5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8</v>
      </c>
      <c r="H64" s="52">
        <f t="shared" si="177"/>
        <v>0</v>
      </c>
      <c r="I64" s="52">
        <f t="shared" si="177"/>
        <v>0</v>
      </c>
      <c r="J64" s="52">
        <f t="shared" si="166"/>
        <v>8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0</v>
      </c>
      <c r="P64" s="52">
        <f t="shared" si="178"/>
        <v>0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0</v>
      </c>
      <c r="AF64" s="52">
        <f t="shared" si="180"/>
        <v>0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40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48" t="s">
        <v>20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48" t="s">
        <v>44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0.16</v>
      </c>
      <c r="V73" s="49">
        <f>IF(V61="nuit",V64*0.02,0)</f>
        <v>0.16</v>
      </c>
      <c r="W73" s="49">
        <f t="shared" ref="W73:AA73" si="192">IF(W61="nuit",W64*0.02,0)</f>
        <v>0.16</v>
      </c>
      <c r="X73" s="49">
        <f t="shared" si="192"/>
        <v>0.16</v>
      </c>
      <c r="Y73" s="49">
        <f>IF(Y61="nuit",Y64*0.02,0)</f>
        <v>0.16</v>
      </c>
      <c r="Z73" s="49">
        <f t="shared" si="192"/>
        <v>0</v>
      </c>
      <c r="AA73" s="49">
        <f t="shared" si="192"/>
        <v>0</v>
      </c>
      <c r="AB73" s="52">
        <f t="shared" si="170"/>
        <v>0.8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51" t="s">
        <v>31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72">
        <f>Année_Calendaire</f>
        <v>2016</v>
      </c>
      <c r="I76" s="72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23</v>
      </c>
      <c r="V76" s="19"/>
      <c r="W76" s="19"/>
      <c r="X76" s="19"/>
      <c r="Y76" s="19"/>
      <c r="Z76" s="72">
        <f>Année_Calendaire</f>
        <v>2016</v>
      </c>
      <c r="AA76" s="72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23</v>
      </c>
      <c r="AN76" s="19"/>
      <c r="AO76" s="19"/>
      <c r="AP76" s="19"/>
      <c r="AQ76" s="19"/>
      <c r="AR76" s="72">
        <f>Année_Calendaire</f>
        <v>2016</v>
      </c>
      <c r="AS76" s="72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63"/>
      <c r="B77" s="55" t="str">
        <f>IF(AU59&lt;&gt;"",AU59,IF(AL59="C1","C2",IF(AL59="C2","C3",IF(AL59="C3","C4",IF(AL59="C4","C1","")))))</f>
        <v>C1</v>
      </c>
      <c r="C77" s="53" t="s">
        <v>13</v>
      </c>
      <c r="D77" s="53" t="s">
        <v>14</v>
      </c>
      <c r="E77" s="53" t="s">
        <v>15</v>
      </c>
      <c r="F77" s="53" t="s">
        <v>16</v>
      </c>
      <c r="G77" s="53" t="s">
        <v>17</v>
      </c>
      <c r="H77" s="53" t="s">
        <v>18</v>
      </c>
      <c r="I77" s="53" t="s">
        <v>19</v>
      </c>
      <c r="J77" s="73" t="s">
        <v>32</v>
      </c>
      <c r="K77" s="55" t="str">
        <f>IF(B77="C1","C2",IF(B77="C2","C3",IF(B77="C3","C4",IF(B77="C4","C1",""))))</f>
        <v>C2</v>
      </c>
      <c r="L77" s="53" t="str">
        <f>IF(L78&lt;&gt;"","Lun","")</f>
        <v>Lun</v>
      </c>
      <c r="M77" s="53" t="str">
        <f>IF(M78&lt;&gt;"","Mar","")</f>
        <v>Mar</v>
      </c>
      <c r="N77" s="53" t="str">
        <f>IF(N78&lt;&gt;"","Mer","")</f>
        <v>Mer</v>
      </c>
      <c r="O77" s="53" t="str">
        <f>IF(O78&lt;&gt;"","Jeu","")</f>
        <v>Jeu</v>
      </c>
      <c r="P77" s="53" t="str">
        <f>IF(P78&lt;&gt;"","Ven","")</f>
        <v>Ven</v>
      </c>
      <c r="Q77" s="53" t="str">
        <f>IF(Q78&lt;&gt;"","Sam","")</f>
        <v>Sam</v>
      </c>
      <c r="R77" s="53" t="str">
        <f>IF(R78&lt;&gt;"","Dim","")</f>
        <v>Dim</v>
      </c>
      <c r="S77" s="73" t="s">
        <v>32</v>
      </c>
      <c r="T77" s="55" t="str">
        <f>IF(K77="C1","C2",IF(K77="C2","C3",IF(K77="C3","C4",IF(K77="C4","C1",""))))</f>
        <v>C3</v>
      </c>
      <c r="U77" s="53" t="str">
        <f>IF(U78&lt;&gt;"","Lun","")</f>
        <v>Lun</v>
      </c>
      <c r="V77" s="53" t="str">
        <f>IF(V78&lt;&gt;"","Mar","")</f>
        <v>Mar</v>
      </c>
      <c r="W77" s="53" t="str">
        <f>IF(W78&lt;&gt;"","Mer","")</f>
        <v>Mer</v>
      </c>
      <c r="X77" s="53" t="str">
        <f>IF(X78&lt;&gt;"","Jeu","")</f>
        <v>Jeu</v>
      </c>
      <c r="Y77" s="53" t="str">
        <f>IF(Y78&lt;&gt;"","Ven","")</f>
        <v>Ven</v>
      </c>
      <c r="Z77" s="53" t="str">
        <f>IF(Z78&lt;&gt;"","Sam","")</f>
        <v>Sam</v>
      </c>
      <c r="AA77" s="53" t="str">
        <f>IF(AA78&lt;&gt;"","Dim","")</f>
        <v>Dim</v>
      </c>
      <c r="AB77" s="73" t="s">
        <v>32</v>
      </c>
      <c r="AC77" s="55" t="str">
        <f>IF(T77="C1","C2",IF(T77="C2","C3",IF(T77="C3","C4",IF(T77="C4","C1",""))))</f>
        <v>C4</v>
      </c>
      <c r="AD77" s="53" t="str">
        <f>IF(AD78&lt;&gt;"","Lun","")</f>
        <v>Lun</v>
      </c>
      <c r="AE77" s="53" t="str">
        <f>IF(AE78&lt;&gt;"","Mar","")</f>
        <v>Mar</v>
      </c>
      <c r="AF77" s="53" t="str">
        <f>IF(AF78&lt;&gt;"","Mer","")</f>
        <v>Mer</v>
      </c>
      <c r="AG77" s="53" t="str">
        <f>IF(AG78&lt;&gt;"","Jeu","")</f>
        <v>Jeu</v>
      </c>
      <c r="AH77" s="53" t="str">
        <f>IF(AH78&lt;&gt;"","Ven","")</f>
        <v>Ven</v>
      </c>
      <c r="AI77" s="53" t="str">
        <f>IF(AI78&lt;&gt;"","Sam","")</f>
        <v>Sam</v>
      </c>
      <c r="AJ77" s="53" t="str">
        <f>IF(AJ78&lt;&gt;"","Dim","")</f>
        <v>Dim</v>
      </c>
      <c r="AK77" s="73" t="s">
        <v>32</v>
      </c>
      <c r="AL77" s="55" t="str">
        <f>IF(AC77="C1","C2",IF(AC77="C2","C3",IF(AC77="C3","C4",IF(AC77="C4","C1",""))))</f>
        <v>C1</v>
      </c>
      <c r="AM77" s="53" t="str">
        <f>IF(AM78&lt;&gt;"","Lun","")</f>
        <v>Lun</v>
      </c>
      <c r="AN77" s="53" t="str">
        <f>IF(AN78&lt;&gt;"","Mar","")</f>
        <v>Mar</v>
      </c>
      <c r="AO77" s="53" t="str">
        <f>IF(AO78&lt;&gt;"","Mer","")</f>
        <v>Mer</v>
      </c>
      <c r="AP77" s="53" t="str">
        <f>IF(AP78&lt;&gt;"","Jeu","")</f>
        <v>Jeu</v>
      </c>
      <c r="AQ77" s="53" t="str">
        <f>IF(AQ78&lt;&gt;"","Ven","")</f>
        <v>Ven</v>
      </c>
      <c r="AR77" s="53" t="str">
        <f>IF(AR78&lt;&gt;"","Sam","")</f>
        <v>Sam</v>
      </c>
      <c r="AS77" s="53" t="str">
        <f>IF(AS78&lt;&gt;"","Dim","")</f>
        <v>Dim</v>
      </c>
      <c r="AT77" s="73" t="s">
        <v>32</v>
      </c>
      <c r="AU77" s="55" t="str">
        <f>IF(AV77&lt;&gt;"",IF(AL77="C1","C2",IF(AL77="C2","C3",IF(AL77="C3","C4",IF(AL77="C4","C1","")))),"")</f>
        <v>C2</v>
      </c>
      <c r="AV77" s="53" t="str">
        <f>IF(AV78&lt;&gt;"","Lun","")</f>
        <v>Lun</v>
      </c>
      <c r="AW77" s="53" t="str">
        <f>IF(AW78&lt;&gt;"","Mar","")</f>
        <v>Mar</v>
      </c>
      <c r="AX77" s="73" t="s">
        <v>32</v>
      </c>
      <c r="AY77" s="73" t="s">
        <v>35</v>
      </c>
      <c r="AZ77" s="74">
        <f>AY84+AY85+AY86</f>
        <v>10</v>
      </c>
      <c r="BA77" s="74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54"/>
      <c r="C78" s="54" t="str">
        <f>IF(DAY(Mai_Dim1)=1,"",IF(AND(YEAR(Mai_Dim1+1)=Année_Calendaire,MONTH(Mai_Dim1+1)=5),Mai_Dim1+1,""))</f>
        <v/>
      </c>
      <c r="D78" s="54" t="str">
        <f>IF(DAY(Mai_Dim1)=1,"",IF(AND(YEAR(Mai_Dim1+2)=Année_Calendaire,MONTH(Mai_Dim1+2)=5),Mai_Dim1+2,""))</f>
        <v/>
      </c>
      <c r="E78" s="54" t="str">
        <f>IF(DAY(Mai_Dim1)=1,"",IF(AND(YEAR(Mai_Dim1+3)=Année_Calendaire,MONTH(Mai_Dim1+3)=5),Mai_Dim1+3,""))</f>
        <v/>
      </c>
      <c r="F78" s="54" t="str">
        <f>IF(DAY(Mai_Dim1)=1,"",IF(AND(YEAR(Mai_Dim1+4)=Année_Calendaire,MONTH(Mai_Dim1+4)=5),Mai_Dim1+4,""))</f>
        <v/>
      </c>
      <c r="G78" s="54" t="str">
        <f>IF(DAY(Mai_Dim1)=1,"",IF(AND(YEAR(Mai_Dim1+5)=Année_Calendaire,MONTH(Mai_Dim1+5)=5),Mai_Dim1+5,""))</f>
        <v/>
      </c>
      <c r="H78" s="54" t="str">
        <f>IF(DAY(Mai_Dim1)=1,"",IF(AND(YEAR(Mai_Dim1+6)=Année_Calendaire,MONTH(Mai_Dim1+6)=5),Mai_Dim1+6,""))</f>
        <v/>
      </c>
      <c r="I78" s="54">
        <f>IF(DAY(Mai_Dim1)=1,IF(AND(YEAR(Mai_Dim1)=Année_Calendaire,MONTH(Mai_Dim1)=5),Mai_Dim1,""),IF(AND(YEAR(Mai_Dim1+7)=Année_Calendaire,MONTH(Mai_Dim1+7)=5),Mai_Dim1+7,""))</f>
        <v>42491</v>
      </c>
      <c r="J78" s="73"/>
      <c r="K78" s="54"/>
      <c r="L78" s="54">
        <f>IF(DAY(Mai_Dim1)=1,IF(AND(YEAR(Mai_Dim1+1)=Année_Calendaire,MONTH(Mai_Dim1+1)=5),Mai_Dim1+1,""),IF(AND(YEAR(Mai_Dim1+8)=Année_Calendaire,MONTH(Mai_Dim1+8)=5),Mai_Dim1+8,""))</f>
        <v>42492</v>
      </c>
      <c r="M78" s="54">
        <f>IF(DAY(Mai_Dim1)=1,IF(AND(YEAR(Mai_Dim1+2)=Année_Calendaire,MONTH(Mai_Dim1+2)=5),Mai_Dim1+2,""),IF(AND(YEAR(Mai_Dim1+9)=Année_Calendaire,MONTH(Mai_Dim1+9)=5),Mai_Dim1+9,""))</f>
        <v>42493</v>
      </c>
      <c r="N78" s="54">
        <f>IF(DAY(Mai_Dim1)=1,IF(AND(YEAR(Mai_Dim1+3)=Année_Calendaire,MONTH(Mai_Dim1+3)=5),Mai_Dim1+3,""),IF(AND(YEAR(Mai_Dim1+10)=Année_Calendaire,MONTH(Mai_Dim1+10)=5),Mai_Dim1+10,""))</f>
        <v>42494</v>
      </c>
      <c r="O78" s="54">
        <f>IF(DAY(Mai_Dim1)=1,IF(AND(YEAR(Mai_Dim1+4)=Année_Calendaire,MONTH(Mai_Dim1+4)=5),Mai_Dim1+4,""),IF(AND(YEAR(Mai_Dim1+11)=Année_Calendaire,MONTH(Mai_Dim1+11)=5),Mai_Dim1+11,""))</f>
        <v>42495</v>
      </c>
      <c r="P78" s="54">
        <f>IF(DAY(Mai_Dim1)=1,IF(AND(YEAR(Mai_Dim1+5)=Année_Calendaire,MONTH(Mai_Dim1+5)=5),Mai_Dim1+5,""),IF(AND(YEAR(Mai_Dim1+12)=Année_Calendaire,MONTH(Mai_Dim1+12)=5),Mai_Dim1+12,""))</f>
        <v>42496</v>
      </c>
      <c r="Q78" s="54">
        <f>IF(DAY(Mai_Dim1)=1,IF(AND(YEAR(Mai_Dim1+6)=Année_Calendaire,MONTH(Mai_Dim1+6)=5),Mai_Dim1+6,""),IF(AND(YEAR(Mai_Dim1+13)=Année_Calendaire,MONTH(Mai_Dim1+13)=5),Mai_Dim1+13,""))</f>
        <v>42497</v>
      </c>
      <c r="R78" s="54">
        <f>IF(DAY(Mai_Dim1)=1,IF(AND(YEAR(Mai_Dim1+7)=Année_Calendaire,MONTH(Mai_Dim1+7)=5),Mai_Dim1+7,""),IF(AND(YEAR(Mai_Dim1+14)=Année_Calendaire,MONTH(Mai_Dim1+14)=5),Mai_Dim1+14,""))</f>
        <v>42498</v>
      </c>
      <c r="S78" s="73"/>
      <c r="T78" s="54"/>
      <c r="U78" s="54">
        <f>IF(DAY(Mai_Dim1)=1,IF(AND(YEAR(Mai_Dim1+8)=Année_Calendaire,MONTH(Mai_Dim1+8)=5),Mai_Dim1+8,""),IF(AND(YEAR(Mai_Dim1+15)=Année_Calendaire,MONTH(Mai_Dim1+15)=5),Mai_Dim1+15,""))</f>
        <v>42499</v>
      </c>
      <c r="V78" s="54">
        <f>IF(DAY(Mai_Dim1)=1,IF(AND(YEAR(Mai_Dim1+9)=Année_Calendaire,MONTH(Mai_Dim1+9)=5),Mai_Dim1+9,""),IF(AND(YEAR(Mai_Dim1+16)=Année_Calendaire,MONTH(Mai_Dim1+16)=5),Mai_Dim1+16,""))</f>
        <v>42500</v>
      </c>
      <c r="W78" s="54">
        <f>IF(DAY(Mai_Dim1)=1,IF(AND(YEAR(Mai_Dim1+10)=Année_Calendaire,MONTH(Mai_Dim1+10)=5),Mai_Dim1+10,""),IF(AND(YEAR(Mai_Dim1+17)=Année_Calendaire,MONTH(Mai_Dim1+17)=5),Mai_Dim1+17,""))</f>
        <v>42501</v>
      </c>
      <c r="X78" s="54">
        <f>IF(DAY(Mai_Dim1)=1,IF(AND(YEAR(Mai_Dim1+11)=Année_Calendaire,MONTH(Mai_Dim1+11)=5),Mai_Dim1+11,""),IF(AND(YEAR(Mai_Dim1+18)=Année_Calendaire,MONTH(Mai_Dim1+18)=5),Mai_Dim1+18,""))</f>
        <v>42502</v>
      </c>
      <c r="Y78" s="54">
        <f>IF(DAY(Mai_Dim1)=1,IF(AND(YEAR(Mai_Dim1+12)=Année_Calendaire,MONTH(Mai_Dim1+12)=5),Mai_Dim1+12,""),IF(AND(YEAR(Mai_Dim1+19)=Année_Calendaire,MONTH(Mai_Dim1+19)=5),Mai_Dim1+19,""))</f>
        <v>42503</v>
      </c>
      <c r="Z78" s="54">
        <f>IF(DAY(Mai_Dim1)=1,IF(AND(YEAR(Mai_Dim1+13)=Année_Calendaire,MONTH(Mai_Dim1+13)=5),Mai_Dim1+13,""),IF(AND(YEAR(Mai_Dim1+20)=Année_Calendaire,MONTH(Mai_Dim1+20)=5),Mai_Dim1+20,""))</f>
        <v>42504</v>
      </c>
      <c r="AA78" s="54">
        <f>IF(DAY(Mai_Dim1)=1,IF(AND(YEAR(Mai_Dim1+14)=Année_Calendaire,MONTH(Mai_Dim1+14)=5),Mai_Dim1+14,""),IF(AND(YEAR(Mai_Dim1+21)=Année_Calendaire,MONTH(Mai_Dim1+21)=5),Mai_Dim1+21,""))</f>
        <v>42505</v>
      </c>
      <c r="AB78" s="73"/>
      <c r="AC78" s="54"/>
      <c r="AD78" s="54">
        <f>IF(DAY(Mai_Dim1)=1,IF(AND(YEAR(Mai_Dim1+15)=Année_Calendaire,MONTH(Mai_Dim1+15)=5),Mai_Dim1+15,""),IF(AND(YEAR(Mai_Dim1+22)=Année_Calendaire,MONTH(Mai_Dim1+22)=5),Mai_Dim1+22,""))</f>
        <v>42506</v>
      </c>
      <c r="AE78" s="54">
        <f>IF(DAY(Mai_Dim1)=1,IF(AND(YEAR(Mai_Dim1+16)=Année_Calendaire,MONTH(Mai_Dim1+16)=5),Mai_Dim1+16,""),IF(AND(YEAR(Mai_Dim1+23)=Année_Calendaire,MONTH(Mai_Dim1+23)=5),Mai_Dim1+23,""))</f>
        <v>42507</v>
      </c>
      <c r="AF78" s="54">
        <f>IF(DAY(Mai_Dim1)=1,IF(AND(YEAR(Mai_Dim1+17)=Année_Calendaire,MONTH(Mai_Dim1+17)=5),Mai_Dim1+17,""),IF(AND(YEAR(Mai_Dim1+24)=Année_Calendaire,MONTH(Mai_Dim1+24)=5),Mai_Dim1+24,""))</f>
        <v>42508</v>
      </c>
      <c r="AG78" s="54">
        <f>IF(DAY(Mai_Dim1)=1,IF(AND(YEAR(Mai_Dim1+18)=Année_Calendaire,MONTH(Mai_Dim1+18)=5),Mai_Dim1+18,""),IF(AND(YEAR(Mai_Dim1+25)=Année_Calendaire,MONTH(Mai_Dim1+25)=5),Mai_Dim1+25,""))</f>
        <v>42509</v>
      </c>
      <c r="AH78" s="54">
        <f>IF(DAY(Mai_Dim1)=1,IF(AND(YEAR(Mai_Dim1+19)=Année_Calendaire,MONTH(Mai_Dim1+19)=5),Mai_Dim1+19,""),IF(AND(YEAR(Mai_Dim1+26)=Année_Calendaire,MONTH(Mai_Dim1+26)=5),Mai_Dim1+26,""))</f>
        <v>42510</v>
      </c>
      <c r="AI78" s="54">
        <f>IF(DAY(Mai_Dim1)=1,IF(AND(YEAR(Mai_Dim1+20)=Année_Calendaire,MONTH(Mai_Dim1+20)=5),Mai_Dim1+20,""),IF(AND(YEAR(Mai_Dim1+27)=Année_Calendaire,MONTH(Mai_Dim1+27)=5),Mai_Dim1+27,""))</f>
        <v>42511</v>
      </c>
      <c r="AJ78" s="54">
        <f>IF(DAY(Mai_Dim1)=1,IF(AND(YEAR(Mai_Dim1+21)=Année_Calendaire,MONTH(Mai_Dim1+21)=5),Mai_Dim1+21,""),IF(AND(YEAR(Mai_Dim1+28)=Année_Calendaire,MONTH(Mai_Dim1+28)=5),Mai_Dim1+28,""))</f>
        <v>42512</v>
      </c>
      <c r="AK78" s="73"/>
      <c r="AL78" s="54"/>
      <c r="AM78" s="54">
        <f>IF(DAY(Mai_Dim1)=1,IF(AND(YEAR(Mai_Dim1+22)=Année_Calendaire,MONTH(Mai_Dim1+22)=5),Mai_Dim1+22,""),IF(AND(YEAR(Mai_Dim1+29)=Année_Calendaire,MONTH(Mai_Dim1+29)=5),Mai_Dim1+29,""))</f>
        <v>42513</v>
      </c>
      <c r="AN78" s="54">
        <f>IF(DAY(Mai_Dim1)=1,IF(AND(YEAR(Mai_Dim1+23)=Année_Calendaire,MONTH(Mai_Dim1+23)=5),Mai_Dim1+23,""),IF(AND(YEAR(Mai_Dim1+30)=Année_Calendaire,MONTH(Mai_Dim1+30)=5),Mai_Dim1+30,""))</f>
        <v>42514</v>
      </c>
      <c r="AO78" s="54">
        <f>IF(DAY(Mai_Dim1)=1,IF(AND(YEAR(Mai_Dim1+24)=Année_Calendaire,MONTH(Mai_Dim1+24)=5),Mai_Dim1+24,""),IF(AND(YEAR(Mai_Dim1+31)=Année_Calendaire,MONTH(Mai_Dim1+31)=5),Mai_Dim1+31,""))</f>
        <v>42515</v>
      </c>
      <c r="AP78" s="54">
        <f>IF(DAY(Mai_Dim1)=1,IF(AND(YEAR(Mai_Dim1+25)=Année_Calendaire,MONTH(Mai_Dim1+25)=5),Mai_Dim1+25,""),IF(AND(YEAR(Mai_Dim1+32)=Année_Calendaire,MONTH(Mai_Dim1+32)=5),Mai_Dim1+32,""))</f>
        <v>42516</v>
      </c>
      <c r="AQ78" s="54">
        <f>IF(DAY(Mai_Dim1)=1,IF(AND(YEAR(Mai_Dim1+26)=Année_Calendaire,MONTH(Mai_Dim1+26)=5),Mai_Dim1+26,""),IF(AND(YEAR(Mai_Dim1+33)=Année_Calendaire,MONTH(Mai_Dim1+33)=5),Mai_Dim1+33,""))</f>
        <v>42517</v>
      </c>
      <c r="AR78" s="54">
        <f>IF(DAY(Mai_Dim1)=1,IF(AND(YEAR(Mai_Dim1+27)=Année_Calendaire,MONTH(Mai_Dim1+27)=5),Mai_Dim1+27,""),IF(AND(YEAR(Mai_Dim1+34)=Année_Calendaire,MONTH(Mai_Dim1+34)=5),Mai_Dim1+34,""))</f>
        <v>42518</v>
      </c>
      <c r="AS78" s="54">
        <f>IF(DAY(Mai_Dim1)=1,IF(AND(YEAR(Mai_Dim1+28)=Année_Calendaire,MONTH(Mai_Dim1+28)=5),Mai_Dim1+28,""),IF(AND(YEAR(Mai_Dim1+35)=Année_Calendaire,MONTH(Mai_Dim1+35)=5),Mai_Dim1+35,""))</f>
        <v>42519</v>
      </c>
      <c r="AT78" s="73"/>
      <c r="AU78" s="54"/>
      <c r="AV78" s="54">
        <f>IF(DAY(Mai_Dim1)=1,IF(AND(YEAR(Mai_Dim1+29)=Année_Calendaire,MONTH(Mai_Dim1+29)=5),Mai_Dim1+29,""),IF(AND(YEAR(Mai_Dim1+36)=Année_Calendaire,MONTH(Mai_Dim1+36)=5),Mai_Dim1+36,""))</f>
        <v>42520</v>
      </c>
      <c r="AW78" s="54">
        <f>IF(DAY(Mai_Dim1)=1,IF(AND(YEAR(Mai_Dim1+30)=Année_Calendaire,MONTH(Mai_Dim1+30)=5),Mai_Dim1+30,""),IF(AND(YEAR(Mai_Dim1+37)=Année_Calendaire,MONTH(Mai_Dim1+37)=5),Mai_Dim1+37,""))</f>
        <v>42521</v>
      </c>
      <c r="AX78" s="73"/>
      <c r="AY78" s="73"/>
      <c r="AZ78" s="74"/>
      <c r="BA78" s="74"/>
      <c r="BB78" s="32"/>
      <c r="BC78" s="32"/>
      <c r="BD78" s="32"/>
      <c r="BE78" s="32"/>
      <c r="BF78" s="24"/>
    </row>
    <row r="79" spans="1:59" s="5" customFormat="1" ht="15" customHeight="1" x14ac:dyDescent="0.25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/>
      </c>
      <c r="E79" s="49" t="str">
        <f>IF(E78="","",IFERROR(VLOOKUP(B77,DATA!$A:$H,4,TRUE),0))</f>
        <v/>
      </c>
      <c r="F79" s="49" t="str">
        <f>IF(F78="","",IFERROR(VLOOKUP(B77,DATA!$A:$H,5,TRUE),0))</f>
        <v/>
      </c>
      <c r="G79" s="49" t="str">
        <f>IF(G78="","",IFERROR(VLOOKUP(B77,DATA!$A:$H,6,TRUE),0))</f>
        <v/>
      </c>
      <c r="H79" s="49" t="str">
        <f>IF(H78="","",IFERROR(VLOOKUP(B77,DATA!$A:$H,7,TRUE),0))</f>
        <v/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nuit</v>
      </c>
      <c r="M79" s="49" t="str">
        <f>IF(M78="","",IFERROR(VLOOKUP(K77,DATA!$A:$H,3,TRUE),0))</f>
        <v>nuit</v>
      </c>
      <c r="N79" s="49" t="str">
        <f>IF(N78="","",IFERROR(VLOOKUP(K77,DATA!$A:$H,4,TRUE),0))</f>
        <v>nuit</v>
      </c>
      <c r="O79" s="49" t="str">
        <f>IF(O78="","",IFERROR(VLOOKUP(K77,DATA!$A:$H,5,TRUE),0))</f>
        <v>nuit</v>
      </c>
      <c r="P79" s="49" t="str">
        <f>IF(P78="","",IFERROR(VLOOKUP(K77,DATA!$A:$H,6,TRUE),0))</f>
        <v>nuit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matin</v>
      </c>
      <c r="V79" s="49">
        <f>IF(V78="","",IFERROR(VLOOKUP(T77,DATA!$A:$H,3,TRUE),0))</f>
        <v>0</v>
      </c>
      <c r="W79" s="49">
        <f>IF(W78="","",IFERROR(VLOOKUP(T77,DATA!$A:$H,4,TRUE),0))</f>
        <v>0</v>
      </c>
      <c r="X79" s="49" t="str">
        <f>IF(X78="","",IFERROR(VLOOKUP(T77,DATA!$A:$H,5,TRUE),0))</f>
        <v>matin</v>
      </c>
      <c r="Y79" s="49" t="str">
        <f>IF(Y78="","",IFERROR(VLOOKUP(T77,DATA!$A:$H,6,TRUE),0))</f>
        <v>matin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am</v>
      </c>
      <c r="AE79" s="49" t="str">
        <f>IF(AE78="","",IFERROR(VLOOKUP(AC77,DATA!$A:$H,3,TRUE),0))</f>
        <v>am</v>
      </c>
      <c r="AF79" s="49" t="str">
        <f>IF(AF78="","",IFERROR(VLOOKUP(AC77,DATA!$A:$H,4,TRUE),0))</f>
        <v>am</v>
      </c>
      <c r="AG79" s="49" t="str">
        <f>IF(AG78="","",IFERROR(VLOOKUP(AC77,DATA!$A:$H,5,TRUE),0))</f>
        <v>am</v>
      </c>
      <c r="AH79" s="49" t="str">
        <f>IF(AH78="","",IFERROR(VLOOKUP(AC77,DATA!$A:$H,6,TRUE),0))</f>
        <v>am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matin</v>
      </c>
      <c r="AN79" s="49" t="str">
        <f>IF(AN78="","",IFERROR(VLOOKUP(AL77,DATA!$A:$H,3,TRUE),0))</f>
        <v>matin</v>
      </c>
      <c r="AO79" s="49" t="str">
        <f>IF(AO78="","",IFERROR(VLOOKUP(AL77,DATA!$A:$H,4,TRUE),0))</f>
        <v>matin</v>
      </c>
      <c r="AP79" s="49">
        <f>IF(AP78="","",IFERROR(VLOOKUP(AL77,DATA!$A:$H,5,TRUE),0))</f>
        <v>0</v>
      </c>
      <c r="AQ79" s="49">
        <f>IF(AQ78="","",IFERROR(VLOOKUP(AL77,DATA!$A:$H,6,TRUE),0))</f>
        <v>0</v>
      </c>
      <c r="AR79" s="49">
        <f>IF(AR78="","",IFERROR(VLOOKUP(AL77,DATA!$A:$H,7,TRUE),0))</f>
        <v>0</v>
      </c>
      <c r="AS79" s="49">
        <f>IF(AS78="","",IFERROR(VLOOKUP(AL77,DATA!$A:$H,8,TRUE),0))</f>
        <v>0</v>
      </c>
      <c r="AT79" s="52"/>
      <c r="AU79" s="48"/>
      <c r="AV79" s="49" t="str">
        <f>IF(AV78="","",IFERROR(VLOOKUP(AU77,DATA!$A:$H,2,TRUE),0))</f>
        <v>nuit</v>
      </c>
      <c r="AW79" s="49" t="str">
        <f>IF(AW78="","",IFERROR(VLOOKUP(AU77,DATA!$A:$H,3,TRUE),0))</f>
        <v>nuit</v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0</v>
      </c>
      <c r="E80" s="52">
        <f t="shared" si="195"/>
        <v>0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0</v>
      </c>
      <c r="K80" s="51"/>
      <c r="L80" s="52">
        <f t="shared" ref="L80:R80" si="196">IF(L79="Matin",1,IF(L79="AM",1,0))</f>
        <v>0</v>
      </c>
      <c r="M80" s="52">
        <f t="shared" si="196"/>
        <v>0</v>
      </c>
      <c r="N80" s="52">
        <f t="shared" si="196"/>
        <v>0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0</v>
      </c>
      <c r="T80" s="51"/>
      <c r="U80" s="52">
        <f t="shared" ref="U80:AA80" si="197">IF(U79="Matin",1,IF(U79="AM",1,0))</f>
        <v>1</v>
      </c>
      <c r="V80" s="52">
        <f t="shared" si="197"/>
        <v>0</v>
      </c>
      <c r="W80" s="52">
        <f t="shared" si="197"/>
        <v>0</v>
      </c>
      <c r="X80" s="52">
        <f t="shared" si="197"/>
        <v>1</v>
      </c>
      <c r="Y80" s="52">
        <f t="shared" si="197"/>
        <v>1</v>
      </c>
      <c r="Z80" s="52">
        <f t="shared" si="197"/>
        <v>0</v>
      </c>
      <c r="AA80" s="52">
        <f t="shared" si="197"/>
        <v>0</v>
      </c>
      <c r="AB80" s="52">
        <f>SUM(U80:AA80)</f>
        <v>3</v>
      </c>
      <c r="AC80" s="51"/>
      <c r="AD80" s="52">
        <f t="shared" ref="AD80:AJ80" si="198">IF(AD79="Matin",1,IF(AD79="AM",1,0))</f>
        <v>1</v>
      </c>
      <c r="AE80" s="52">
        <f t="shared" si="198"/>
        <v>1</v>
      </c>
      <c r="AF80" s="52">
        <f t="shared" si="198"/>
        <v>1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5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0</v>
      </c>
      <c r="AQ80" s="52">
        <f t="shared" si="199"/>
        <v>0</v>
      </c>
      <c r="AR80" s="52">
        <f t="shared" si="199"/>
        <v>0</v>
      </c>
      <c r="AS80" s="52">
        <f t="shared" si="199"/>
        <v>0</v>
      </c>
      <c r="AT80" s="52">
        <f>SUM(AM80:AS80)</f>
        <v>3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11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2">IF(E82&gt;=1,1,0)</f>
        <v>0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0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1</v>
      </c>
      <c r="P81" s="49">
        <f t="shared" si="204"/>
        <v>1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5</v>
      </c>
      <c r="T81" s="48"/>
      <c r="U81" s="49">
        <f>IF(U82&gt;=1,1,0)</f>
        <v>1</v>
      </c>
      <c r="V81" s="49">
        <f t="shared" ref="V81:AA81" si="206">IF(V82&gt;=1,1,0)</f>
        <v>0</v>
      </c>
      <c r="W81" s="49">
        <f t="shared" si="206"/>
        <v>0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3</v>
      </c>
      <c r="AC81" s="48"/>
      <c r="AD81" s="49">
        <f>IF(AD82&gt;=1,1,0)</f>
        <v>1</v>
      </c>
      <c r="AE81" s="49">
        <f t="shared" ref="AE81:AJ81" si="208">IF(AE82&gt;=1,1,0)</f>
        <v>1</v>
      </c>
      <c r="AF81" s="49">
        <f t="shared" si="208"/>
        <v>1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5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0</v>
      </c>
      <c r="AQ81" s="49">
        <f t="shared" si="210"/>
        <v>0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3</v>
      </c>
      <c r="AU81" s="48"/>
      <c r="AV81" s="49">
        <f>IF(AV82&gt;=1,1,0)</f>
        <v>1</v>
      </c>
      <c r="AW81" s="49">
        <f t="shared" ref="AW81" si="212">IF(AW82&gt;=1,1,0)</f>
        <v>1</v>
      </c>
      <c r="AX81" s="52">
        <f t="shared" si="201"/>
        <v>2</v>
      </c>
      <c r="AY81" s="49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0</v>
      </c>
      <c r="E82" s="52">
        <f t="shared" si="214"/>
        <v>0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0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8</v>
      </c>
      <c r="P82" s="52">
        <f t="shared" si="215"/>
        <v>8</v>
      </c>
      <c r="Q82" s="52">
        <f t="shared" si="215"/>
        <v>0</v>
      </c>
      <c r="R82" s="52">
        <f t="shared" si="215"/>
        <v>0</v>
      </c>
      <c r="S82" s="52">
        <f t="shared" si="205"/>
        <v>40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0</v>
      </c>
      <c r="W82" s="52">
        <f t="shared" si="216"/>
        <v>0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24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8</v>
      </c>
      <c r="AF82" s="52">
        <f t="shared" si="217"/>
        <v>8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40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0</v>
      </c>
      <c r="AQ82" s="52">
        <f t="shared" si="218"/>
        <v>0</v>
      </c>
      <c r="AR82" s="52">
        <f t="shared" si="218"/>
        <v>0</v>
      </c>
      <c r="AS82" s="52">
        <f t="shared" si="218"/>
        <v>0</v>
      </c>
      <c r="AT82" s="52">
        <f t="shared" si="211"/>
        <v>24</v>
      </c>
      <c r="AU82" s="51"/>
      <c r="AV82" s="52">
        <f>IF(AV79="Matin",8,IF(AV79="AM",8,IF(AV79="nuit",8,0)))</f>
        <v>8</v>
      </c>
      <c r="AW82" s="52">
        <f t="shared" ref="AW82" si="219">IF(AW79="Matin",8,IF(AW79="AM",8,IF(AW79="nuit",8,0)))</f>
        <v>8</v>
      </c>
      <c r="AX82" s="52">
        <f t="shared" si="201"/>
        <v>16</v>
      </c>
      <c r="AY82" s="52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48" t="s">
        <v>20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48" t="s">
        <v>44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0.16</v>
      </c>
      <c r="M91" s="49">
        <f>IF(M79="nuit",M82*0.02,0)</f>
        <v>0.16</v>
      </c>
      <c r="N91" s="49">
        <f t="shared" ref="N91:R91" si="227">IF(N79="nuit",N82*0.02,0)</f>
        <v>0.16</v>
      </c>
      <c r="O91" s="49">
        <f t="shared" si="227"/>
        <v>0.16</v>
      </c>
      <c r="P91" s="49">
        <f>IF(P79="nuit",P82*0.02,0)</f>
        <v>0.16</v>
      </c>
      <c r="Q91" s="49">
        <f t="shared" si="227"/>
        <v>0</v>
      </c>
      <c r="R91" s="49">
        <f t="shared" si="227"/>
        <v>0</v>
      </c>
      <c r="S91" s="52">
        <f t="shared" si="205"/>
        <v>0.8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8">IF(W79="nuit",W82*0.02,0)</f>
        <v>0</v>
      </c>
      <c r="X91" s="49">
        <f t="shared" si="228"/>
        <v>0</v>
      </c>
      <c r="Y91" s="49">
        <f>IF(Y79="nuit",Y82*0.02,0)</f>
        <v>0</v>
      </c>
      <c r="Z91" s="49">
        <f t="shared" si="228"/>
        <v>0</v>
      </c>
      <c r="AA91" s="49">
        <f t="shared" si="228"/>
        <v>0</v>
      </c>
      <c r="AB91" s="52">
        <f t="shared" si="207"/>
        <v>0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0.16</v>
      </c>
      <c r="AW91" s="49">
        <f>IF(AW79="nuit",AW82*0.02,0)</f>
        <v>0.16</v>
      </c>
      <c r="AX91" s="52">
        <f>SUM(AV91:AW91)</f>
        <v>0.32</v>
      </c>
      <c r="AY91" s="50">
        <f>J91+S91+AB91+AK91+AT91+AX91</f>
        <v>1.1200000000000001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51" t="s">
        <v>31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72">
        <f>Année_Calendaire</f>
        <v>2016</v>
      </c>
      <c r="I94" s="72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24</v>
      </c>
      <c r="V94" s="19"/>
      <c r="W94" s="19"/>
      <c r="X94" s="19"/>
      <c r="Y94" s="19"/>
      <c r="Z94" s="72">
        <f>Année_Calendaire</f>
        <v>2016</v>
      </c>
      <c r="AA94" s="72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24</v>
      </c>
      <c r="AN94" s="19"/>
      <c r="AO94" s="19"/>
      <c r="AP94" s="19"/>
      <c r="AQ94" s="19"/>
      <c r="AR94" s="72">
        <f>Année_Calendaire</f>
        <v>2016</v>
      </c>
      <c r="AS94" s="72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55" t="str">
        <f>IF(AU77&lt;&gt;"",AU77,IF(AL77="C1","C2",IF(AL77="C2","C3",IF(AL77="C3","C4",IF(AL77="C4","C1","")))))</f>
        <v>C2</v>
      </c>
      <c r="C95" s="53" t="s">
        <v>13</v>
      </c>
      <c r="D95" s="53" t="s">
        <v>14</v>
      </c>
      <c r="E95" s="53" t="s">
        <v>15</v>
      </c>
      <c r="F95" s="53" t="s">
        <v>16</v>
      </c>
      <c r="G95" s="53" t="s">
        <v>17</v>
      </c>
      <c r="H95" s="53" t="s">
        <v>18</v>
      </c>
      <c r="I95" s="53" t="s">
        <v>19</v>
      </c>
      <c r="J95" s="73" t="s">
        <v>32</v>
      </c>
      <c r="K95" s="55" t="str">
        <f>IF(B95="C1","C2",IF(B95="C2","C3",IF(B95="C3","C4",IF(B95="C4","C1",""))))</f>
        <v>C3</v>
      </c>
      <c r="L95" s="53" t="str">
        <f>IF(L96&lt;&gt;"","Lun","")</f>
        <v>Lun</v>
      </c>
      <c r="M95" s="53" t="str">
        <f>IF(M96&lt;&gt;"","Mar","")</f>
        <v>Mar</v>
      </c>
      <c r="N95" s="53" t="str">
        <f>IF(N96&lt;&gt;"","Mer","")</f>
        <v>Mer</v>
      </c>
      <c r="O95" s="53" t="str">
        <f>IF(O96&lt;&gt;"","Jeu","")</f>
        <v>Jeu</v>
      </c>
      <c r="P95" s="53" t="str">
        <f>IF(P96&lt;&gt;"","Ven","")</f>
        <v>Ven</v>
      </c>
      <c r="Q95" s="53" t="str">
        <f>IF(Q96&lt;&gt;"","Sam","")</f>
        <v>Sam</v>
      </c>
      <c r="R95" s="53" t="str">
        <f>IF(R96&lt;&gt;"","Dim","")</f>
        <v>Dim</v>
      </c>
      <c r="S95" s="73" t="s">
        <v>32</v>
      </c>
      <c r="T95" s="55" t="str">
        <f>IF(K95="C1","C2",IF(K95="C2","C3",IF(K95="C3","C4",IF(K95="C4","C1",""))))</f>
        <v>C4</v>
      </c>
      <c r="U95" s="53" t="str">
        <f>IF(U96&lt;&gt;"","Lun","")</f>
        <v>Lun</v>
      </c>
      <c r="V95" s="53" t="str">
        <f>IF(V96&lt;&gt;"","Mar","")</f>
        <v>Mar</v>
      </c>
      <c r="W95" s="53" t="str">
        <f>IF(W96&lt;&gt;"","Mer","")</f>
        <v>Mer</v>
      </c>
      <c r="X95" s="53" t="str">
        <f>IF(X96&lt;&gt;"","Jeu","")</f>
        <v>Jeu</v>
      </c>
      <c r="Y95" s="53" t="str">
        <f>IF(Y96&lt;&gt;"","Ven","")</f>
        <v>Ven</v>
      </c>
      <c r="Z95" s="53" t="str">
        <f>IF(Z96&lt;&gt;"","Sam","")</f>
        <v>Sam</v>
      </c>
      <c r="AA95" s="53" t="str">
        <f>IF(AA96&lt;&gt;"","Dim","")</f>
        <v>Dim</v>
      </c>
      <c r="AB95" s="73" t="s">
        <v>32</v>
      </c>
      <c r="AC95" s="55" t="str">
        <f>IF(T95="C1","C2",IF(T95="C2","C3",IF(T95="C3","C4",IF(T95="C4","C1",""))))</f>
        <v>C1</v>
      </c>
      <c r="AD95" s="53" t="str">
        <f>IF(AD96&lt;&gt;"","Lun","")</f>
        <v>Lun</v>
      </c>
      <c r="AE95" s="53" t="str">
        <f>IF(AE96&lt;&gt;"","Mar","")</f>
        <v>Mar</v>
      </c>
      <c r="AF95" s="53" t="str">
        <f>IF(AF96&lt;&gt;"","Mer","")</f>
        <v>Mer</v>
      </c>
      <c r="AG95" s="53" t="str">
        <f>IF(AG96&lt;&gt;"","Jeu","")</f>
        <v>Jeu</v>
      </c>
      <c r="AH95" s="53" t="str">
        <f>IF(AH96&lt;&gt;"","Ven","")</f>
        <v>Ven</v>
      </c>
      <c r="AI95" s="53" t="str">
        <f>IF(AI96&lt;&gt;"","Sam","")</f>
        <v>Sam</v>
      </c>
      <c r="AJ95" s="53" t="str">
        <f>IF(AJ96&lt;&gt;"","Dim","")</f>
        <v>Dim</v>
      </c>
      <c r="AK95" s="73" t="s">
        <v>32</v>
      </c>
      <c r="AL95" s="55" t="str">
        <f>IF(AC95="C1","C2",IF(AC95="C2","C3",IF(AC95="C3","C4",IF(AC95="C4","C1",""))))</f>
        <v>C2</v>
      </c>
      <c r="AM95" s="53" t="str">
        <f>IF(AM96&lt;&gt;"","Lun","")</f>
        <v>Lun</v>
      </c>
      <c r="AN95" s="53" t="str">
        <f>IF(AN96&lt;&gt;"","Mar","")</f>
        <v>Mar</v>
      </c>
      <c r="AO95" s="53" t="str">
        <f>IF(AO96&lt;&gt;"","Mer","")</f>
        <v>Mer</v>
      </c>
      <c r="AP95" s="53" t="str">
        <f>IF(AP96&lt;&gt;"","Jeu","")</f>
        <v>Jeu</v>
      </c>
      <c r="AQ95" s="53" t="str">
        <f>IF(AQ96&lt;&gt;"","Ven","")</f>
        <v/>
      </c>
      <c r="AR95" s="53" t="str">
        <f>IF(AR96&lt;&gt;"","Sam","")</f>
        <v/>
      </c>
      <c r="AS95" s="53" t="str">
        <f>IF(AS96&lt;&gt;"","Dim","")</f>
        <v/>
      </c>
      <c r="AT95" s="73" t="s">
        <v>32</v>
      </c>
      <c r="AU95" s="55" t="str">
        <f>IF(AV95&lt;&gt;"",IF(AL95="C1","C2",IF(AL95="C2","C3",IF(AL95="C3","C4",IF(AL95="C4","C1","")))),"")</f>
        <v/>
      </c>
      <c r="AV95" s="53" t="str">
        <f>IF(AV96&lt;&gt;"","Lun","")</f>
        <v/>
      </c>
      <c r="AW95" s="53" t="str">
        <f>IF(AW96&lt;&gt;"","Mar","")</f>
        <v/>
      </c>
      <c r="AX95" s="73" t="s">
        <v>32</v>
      </c>
      <c r="AY95" s="73" t="s">
        <v>35</v>
      </c>
      <c r="AZ95" s="74">
        <f>AY102+AY103+AY104</f>
        <v>5</v>
      </c>
      <c r="BA95" s="74">
        <f>AZ95+BA77</f>
        <v>50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54"/>
      <c r="C96" s="54" t="str">
        <f>IF(DAY(Juin_Dim1)=1,"",IF(AND(YEAR(Juin_Dim1+1)=Année_Calendaire,MONTH(Juin_Dim1+1)=6),Juin_Dim1+1,""))</f>
        <v/>
      </c>
      <c r="D96" s="54" t="str">
        <f>IF(DAY(Juin_Dim1)=1,"",IF(AND(YEAR(Juin_Dim1+2)=Année_Calendaire,MONTH(Juin_Dim1+2)=6),Juin_Dim1+2,""))</f>
        <v/>
      </c>
      <c r="E96" s="54">
        <f>IF(DAY(Juin_Dim1)=1,"",IF(AND(YEAR(Juin_Dim1+3)=Année_Calendaire,MONTH(Juin_Dim1+3)=6),Juin_Dim1+3,""))</f>
        <v>42522</v>
      </c>
      <c r="F96" s="54">
        <f>IF(DAY(Juin_Dim1)=1,"",IF(AND(YEAR(Juin_Dim1+4)=Année_Calendaire,MONTH(Juin_Dim1+4)=6),Juin_Dim1+4,""))</f>
        <v>42523</v>
      </c>
      <c r="G96" s="54">
        <f>IF(DAY(Juin_Dim1)=1,"",IF(AND(YEAR(Juin_Dim1+5)=Année_Calendaire,MONTH(Juin_Dim1+5)=6),Juin_Dim1+5,""))</f>
        <v>42524</v>
      </c>
      <c r="H96" s="54">
        <f>IF(DAY(Juin_Dim1)=1,"",IF(AND(YEAR(Juin_Dim1+6)=Année_Calendaire,MONTH(Juin_Dim1+6)=6),Juin_Dim1+6,""))</f>
        <v>42525</v>
      </c>
      <c r="I96" s="54">
        <f>IF(DAY(Juin_Dim1)=1,IF(AND(YEAR(Juin_Dim1)=Année_Calendaire,MONTH(Juin_Dim1)=6),Juin_Dim1,""),IF(AND(YEAR(Juin_Dim1+7)=Année_Calendaire,MONTH(Juin_Dim1+7)=6),Juin_Dim1+7,""))</f>
        <v>42526</v>
      </c>
      <c r="J96" s="73"/>
      <c r="K96" s="54"/>
      <c r="L96" s="54">
        <f>IF(DAY(Juin_Dim1)=1,IF(AND(YEAR(Juin_Dim1+1)=Année_Calendaire,MONTH(Juin_Dim1+1)=6),Juin_Dim1+1,""),IF(AND(YEAR(Juin_Dim1+8)=Année_Calendaire,MONTH(Juin_Dim1+8)=6),Juin_Dim1+8,""))</f>
        <v>42527</v>
      </c>
      <c r="M96" s="54">
        <f>IF(DAY(Juin_Dim1)=1,IF(AND(YEAR(Juin_Dim1+2)=Année_Calendaire,MONTH(Juin_Dim1+2)=6),Juin_Dim1+2,""),IF(AND(YEAR(Juin_Dim1+9)=Année_Calendaire,MONTH(Juin_Dim1+9)=6),Juin_Dim1+9,""))</f>
        <v>42528</v>
      </c>
      <c r="N96" s="54">
        <f>IF(DAY(Juin_Dim1)=1,IF(AND(YEAR(Juin_Dim1+3)=Année_Calendaire,MONTH(Juin_Dim1+3)=6),Juin_Dim1+3,""),IF(AND(YEAR(Juin_Dim1+10)=Année_Calendaire,MONTH(Juin_Dim1+10)=6),Juin_Dim1+10,""))</f>
        <v>42529</v>
      </c>
      <c r="O96" s="54">
        <f>IF(DAY(Juin_Dim1)=1,IF(AND(YEAR(Juin_Dim1+4)=Année_Calendaire,MONTH(Juin_Dim1+4)=6),Juin_Dim1+4,""),IF(AND(YEAR(Juin_Dim1+11)=Année_Calendaire,MONTH(Juin_Dim1+11)=6),Juin_Dim1+11,""))</f>
        <v>42530</v>
      </c>
      <c r="P96" s="54">
        <f>IF(DAY(Juin_Dim1)=1,IF(AND(YEAR(Juin_Dim1+5)=Année_Calendaire,MONTH(Juin_Dim1+5)=6),Juin_Dim1+5,""),IF(AND(YEAR(Juin_Dim1+12)=Année_Calendaire,MONTH(Juin_Dim1+12)=6),Juin_Dim1+12,""))</f>
        <v>42531</v>
      </c>
      <c r="Q96" s="54">
        <f>IF(DAY(Juin_Dim1)=1,IF(AND(YEAR(Juin_Dim1+6)=Année_Calendaire,MONTH(Juin_Dim1+6)=6),Juin_Dim1+6,""),IF(AND(YEAR(Juin_Dim1+13)=Année_Calendaire,MONTH(Juin_Dim1+13)=6),Juin_Dim1+13,""))</f>
        <v>42532</v>
      </c>
      <c r="R96" s="54">
        <f>IF(DAY(Juin_Dim1)=1,IF(AND(YEAR(Juin_Dim1+7)=Année_Calendaire,MONTH(Juin_Dim1+7)=6),Juin_Dim1+7,""),IF(AND(YEAR(Juin_Dim1+14)=Année_Calendaire,MONTH(Juin_Dim1+14)=6),Juin_Dim1+14,""))</f>
        <v>42533</v>
      </c>
      <c r="S96" s="73"/>
      <c r="T96" s="54"/>
      <c r="U96" s="54">
        <f>IF(DAY(Juin_Dim1)=1,IF(AND(YEAR(Juin_Dim1+8)=Année_Calendaire,MONTH(Juin_Dim1+8)=6),Juin_Dim1+8,""),IF(AND(YEAR(Juin_Dim1+15)=Année_Calendaire,MONTH(Juin_Dim1+15)=6),Juin_Dim1+15,""))</f>
        <v>42534</v>
      </c>
      <c r="V96" s="54">
        <f>IF(DAY(Juin_Dim1)=1,IF(AND(YEAR(Juin_Dim1+9)=Année_Calendaire,MONTH(Juin_Dim1+9)=6),Juin_Dim1+9,""),IF(AND(YEAR(Juin_Dim1+16)=Année_Calendaire,MONTH(Juin_Dim1+16)=6),Juin_Dim1+16,""))</f>
        <v>42535</v>
      </c>
      <c r="W96" s="54">
        <f>IF(DAY(Juin_Dim1)=1,IF(AND(YEAR(Juin_Dim1+10)=Année_Calendaire,MONTH(Juin_Dim1+10)=6),Juin_Dim1+10,""),IF(AND(YEAR(Juin_Dim1+17)=Année_Calendaire,MONTH(Juin_Dim1+17)=6),Juin_Dim1+17,""))</f>
        <v>42536</v>
      </c>
      <c r="X96" s="54">
        <f>IF(DAY(Juin_Dim1)=1,IF(AND(YEAR(Juin_Dim1+11)=Année_Calendaire,MONTH(Juin_Dim1+11)=6),Juin_Dim1+11,""),IF(AND(YEAR(Juin_Dim1+18)=Année_Calendaire,MONTH(Juin_Dim1+18)=6),Juin_Dim1+18,""))</f>
        <v>42537</v>
      </c>
      <c r="Y96" s="54">
        <f>IF(DAY(Juin_Dim1)=1,IF(AND(YEAR(Juin_Dim1+12)=Année_Calendaire,MONTH(Juin_Dim1+12)=6),Juin_Dim1+12,""),IF(AND(YEAR(Juin_Dim1+19)=Année_Calendaire,MONTH(Juin_Dim1+19)=6),Juin_Dim1+19,""))</f>
        <v>42538</v>
      </c>
      <c r="Z96" s="54">
        <f>IF(DAY(Juin_Dim1)=1,IF(AND(YEAR(Juin_Dim1+13)=Année_Calendaire,MONTH(Juin_Dim1+13)=6),Juin_Dim1+13,""),IF(AND(YEAR(Juin_Dim1+20)=Année_Calendaire,MONTH(Juin_Dim1+20)=6),Juin_Dim1+20,""))</f>
        <v>42539</v>
      </c>
      <c r="AA96" s="54">
        <f>IF(DAY(Juin_Dim1)=1,IF(AND(YEAR(Juin_Dim1+14)=Année_Calendaire,MONTH(Juin_Dim1+14)=6),Juin_Dim1+14,""),IF(AND(YEAR(Juin_Dim1+21)=Année_Calendaire,MONTH(Juin_Dim1+21)=6),Juin_Dim1+21,""))</f>
        <v>42540</v>
      </c>
      <c r="AB96" s="73"/>
      <c r="AC96" s="54"/>
      <c r="AD96" s="54">
        <f>IF(DAY(Juin_Dim1)=1,IF(AND(YEAR(Juin_Dim1+15)=Année_Calendaire,MONTH(Juin_Dim1+15)=6),Juin_Dim1+15,""),IF(AND(YEAR(Juin_Dim1+22)=Année_Calendaire,MONTH(Juin_Dim1+22)=6),Juin_Dim1+22,""))</f>
        <v>42541</v>
      </c>
      <c r="AE96" s="54">
        <f>IF(DAY(Juin_Dim1)=1,IF(AND(YEAR(Juin_Dim1+16)=Année_Calendaire,MONTH(Juin_Dim1+16)=6),Juin_Dim1+16,""),IF(AND(YEAR(Juin_Dim1+23)=Année_Calendaire,MONTH(Juin_Dim1+23)=6),Juin_Dim1+23,""))</f>
        <v>42542</v>
      </c>
      <c r="AF96" s="54">
        <f>IF(DAY(Juin_Dim1)=1,IF(AND(YEAR(Juin_Dim1+17)=Année_Calendaire,MONTH(Juin_Dim1+17)=6),Juin_Dim1+17,""),IF(AND(YEAR(Juin_Dim1+24)=Année_Calendaire,MONTH(Juin_Dim1+24)=6),Juin_Dim1+24,""))</f>
        <v>42543</v>
      </c>
      <c r="AG96" s="54">
        <f>IF(DAY(Juin_Dim1)=1,IF(AND(YEAR(Juin_Dim1+18)=Année_Calendaire,MONTH(Juin_Dim1+18)=6),Juin_Dim1+18,""),IF(AND(YEAR(Juin_Dim1+25)=Année_Calendaire,MONTH(Juin_Dim1+25)=6),Juin_Dim1+25,""))</f>
        <v>42544</v>
      </c>
      <c r="AH96" s="54">
        <f>IF(DAY(Juin_Dim1)=1,IF(AND(YEAR(Juin_Dim1+19)=Année_Calendaire,MONTH(Juin_Dim1+19)=6),Juin_Dim1+19,""),IF(AND(YEAR(Juin_Dim1+26)=Année_Calendaire,MONTH(Juin_Dim1+26)=6),Juin_Dim1+26,""))</f>
        <v>42545</v>
      </c>
      <c r="AI96" s="54">
        <f>IF(DAY(Juin_Dim1)=1,IF(AND(YEAR(Juin_Dim1+20)=Année_Calendaire,MONTH(Juin_Dim1+20)=6),Juin_Dim1+20,""),IF(AND(YEAR(Juin_Dim1+27)=Année_Calendaire,MONTH(Juin_Dim1+27)=6),Juin_Dim1+27,""))</f>
        <v>42546</v>
      </c>
      <c r="AJ96" s="54">
        <f>IF(DAY(Juin_Dim1)=1,IF(AND(YEAR(Juin_Dim1+21)=Année_Calendaire,MONTH(Juin_Dim1+21)=6),Juin_Dim1+21,""),IF(AND(YEAR(Juin_Dim1+28)=Année_Calendaire,MONTH(Juin_Dim1+28)=6),Juin_Dim1+28,""))</f>
        <v>42547</v>
      </c>
      <c r="AK96" s="73"/>
      <c r="AL96" s="54"/>
      <c r="AM96" s="54">
        <f>IF(DAY(Juin_Dim1)=1,IF(AND(YEAR(Juin_Dim1+22)=Année_Calendaire,MONTH(Juin_Dim1+22)=6),Juin_Dim1+22,""),IF(AND(YEAR(Juin_Dim1+29)=Année_Calendaire,MONTH(Juin_Dim1+29)=6),Juin_Dim1+29,""))</f>
        <v>42548</v>
      </c>
      <c r="AN96" s="54">
        <f>IF(DAY(Juin_Dim1)=1,IF(AND(YEAR(Juin_Dim1+23)=Année_Calendaire,MONTH(Juin_Dim1+23)=6),Juin_Dim1+23,""),IF(AND(YEAR(Juin_Dim1+30)=Année_Calendaire,MONTH(Juin_Dim1+30)=6),Juin_Dim1+30,""))</f>
        <v>42549</v>
      </c>
      <c r="AO96" s="54">
        <f>IF(DAY(Juin_Dim1)=1,IF(AND(YEAR(Juin_Dim1+24)=Année_Calendaire,MONTH(Juin_Dim1+24)=6),Juin_Dim1+24,""),IF(AND(YEAR(Juin_Dim1+31)=Année_Calendaire,MONTH(Juin_Dim1+31)=6),Juin_Dim1+31,""))</f>
        <v>42550</v>
      </c>
      <c r="AP96" s="54">
        <f>IF(DAY(Juin_Dim1)=1,IF(AND(YEAR(Juin_Dim1+25)=Année_Calendaire,MONTH(Juin_Dim1+25)=6),Juin_Dim1+25,""),IF(AND(YEAR(Juin_Dim1+32)=Année_Calendaire,MONTH(Juin_Dim1+32)=6),Juin_Dim1+32,""))</f>
        <v>42551</v>
      </c>
      <c r="AQ96" s="54" t="str">
        <f>IF(DAY(Juin_Dim1)=1,IF(AND(YEAR(Juin_Dim1+26)=Année_Calendaire,MONTH(Juin_Dim1+26)=6),Juin_Dim1+26,""),IF(AND(YEAR(Juin_Dim1+33)=Année_Calendaire,MONTH(Juin_Dim1+33)=6),Juin_Dim1+33,""))</f>
        <v/>
      </c>
      <c r="AR96" s="54" t="str">
        <f>IF(DAY(Juin_Dim1)=1,IF(AND(YEAR(Juin_Dim1+27)=Année_Calendaire,MONTH(Juin_Dim1+27)=6),Juin_Dim1+27,""),IF(AND(YEAR(Juin_Dim1+34)=Année_Calendaire,MONTH(Juin_Dim1+34)=6),Juin_Dim1+34,""))</f>
        <v/>
      </c>
      <c r="AS96" s="54" t="str">
        <f>IF(DAY(Juin_Dim1)=1,IF(AND(YEAR(Juin_Dim1+28)=Année_Calendaire,MONTH(Juin_Dim1+28)=6),Juin_Dim1+28,""),IF(AND(YEAR(Juin_Dim1+35)=Année_Calendaire,MONTH(Juin_Dim1+35)=6),Juin_Dim1+35,""))</f>
        <v/>
      </c>
      <c r="AT96" s="73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73"/>
      <c r="AY96" s="73"/>
      <c r="AZ96" s="74"/>
      <c r="BA96" s="74"/>
      <c r="BB96" s="32"/>
      <c r="BC96" s="32"/>
      <c r="BD96" s="32"/>
      <c r="BE96" s="32"/>
      <c r="BF96" s="24"/>
    </row>
    <row r="97" spans="1:59" s="5" customFormat="1" ht="15" customHeight="1" x14ac:dyDescent="0.25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>nuit</v>
      </c>
      <c r="F97" s="49" t="str">
        <f>IF(F96="","",IFERROR(VLOOKUP(B95,DATA!$A:$H,5,TRUE),0))</f>
        <v>nuit</v>
      </c>
      <c r="G97" s="49" t="str">
        <f>IF(G96="","",IFERROR(VLOOKUP(B95,DATA!$A:$H,6,TRUE),0))</f>
        <v>nuit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matin</v>
      </c>
      <c r="M97" s="49">
        <f>IF(M96="","",IFERROR(VLOOKUP(K95,DATA!$A:$H,3,TRUE),0))</f>
        <v>0</v>
      </c>
      <c r="N97" s="49">
        <f>IF(N96="","",IFERROR(VLOOKUP(K95,DATA!$A:$H,4,TRUE),0))</f>
        <v>0</v>
      </c>
      <c r="O97" s="49" t="str">
        <f>IF(O96="","",IFERROR(VLOOKUP(K95,DATA!$A:$H,5,TRUE),0))</f>
        <v>matin</v>
      </c>
      <c r="P97" s="49" t="str">
        <f>IF(P96="","",IFERROR(VLOOKUP(K95,DATA!$A:$H,6,TRUE),0))</f>
        <v>matin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am</v>
      </c>
      <c r="V97" s="49" t="str">
        <f>IF(V96="","",IFERROR(VLOOKUP(T95,DATA!$A:$H,3,TRUE),0))</f>
        <v>am</v>
      </c>
      <c r="W97" s="49" t="str">
        <f>IF(W96="","",IFERROR(VLOOKUP(T95,DATA!$A:$H,4,TRUE),0))</f>
        <v>am</v>
      </c>
      <c r="X97" s="49" t="str">
        <f>IF(X96="","",IFERROR(VLOOKUP(T95,DATA!$A:$H,5,TRUE),0))</f>
        <v>am</v>
      </c>
      <c r="Y97" s="49" t="str">
        <f>IF(Y96="","",IFERROR(VLOOKUP(T95,DATA!$A:$H,6,TRUE),0))</f>
        <v>am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matin</v>
      </c>
      <c r="AE97" s="49" t="str">
        <f>IF(AE96="","",IFERROR(VLOOKUP(AC95,DATA!$A:$H,3,TRUE),0))</f>
        <v>matin</v>
      </c>
      <c r="AF97" s="49" t="str">
        <f>IF(AF96="","",IFERROR(VLOOKUP(AC95,DATA!$A:$H,4,TRUE),0))</f>
        <v>matin</v>
      </c>
      <c r="AG97" s="49">
        <f>IF(AG96="","",IFERROR(VLOOKUP(AC95,DATA!$A:$H,5,TRUE),0))</f>
        <v>0</v>
      </c>
      <c r="AH97" s="49">
        <f>IF(AH96="","",IFERROR(VLOOKUP(AC95,DATA!$A:$H,6,TRUE),0))</f>
        <v>0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nuit</v>
      </c>
      <c r="AN97" s="49" t="str">
        <f>IF(AN96="","",IFERROR(VLOOKUP(AL95,DATA!$A:$H,3,TRUE),0))</f>
        <v>nuit</v>
      </c>
      <c r="AO97" s="49" t="str">
        <f>IF(AO96="","",IFERROR(VLOOKUP(AL95,DATA!$A:$H,4,TRUE),0))</f>
        <v>nuit</v>
      </c>
      <c r="AP97" s="49" t="str">
        <f>IF(AP96="","",IFERROR(VLOOKUP(AL95,DATA!$A:$H,5,TRUE),0))</f>
        <v>nuit</v>
      </c>
      <c r="AQ97" s="49" t="str">
        <f>IF(AQ96="","",IFERROR(VLOOKUP(AL95,DATA!$A:$H,6,TRUE),0))</f>
        <v/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0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0</v>
      </c>
      <c r="K98" s="51"/>
      <c r="L98" s="52">
        <f t="shared" ref="L98:R98" si="232">IF(L97="Matin",1,IF(L97="AM",1,0))</f>
        <v>1</v>
      </c>
      <c r="M98" s="52">
        <f t="shared" si="232"/>
        <v>0</v>
      </c>
      <c r="N98" s="52">
        <f t="shared" si="232"/>
        <v>0</v>
      </c>
      <c r="O98" s="52">
        <f t="shared" si="232"/>
        <v>1</v>
      </c>
      <c r="P98" s="52">
        <f t="shared" si="232"/>
        <v>1</v>
      </c>
      <c r="Q98" s="52">
        <f t="shared" si="232"/>
        <v>0</v>
      </c>
      <c r="R98" s="52">
        <f t="shared" si="232"/>
        <v>0</v>
      </c>
      <c r="S98" s="52">
        <f>SUM(L98:R98)</f>
        <v>3</v>
      </c>
      <c r="T98" s="51"/>
      <c r="U98" s="52">
        <f t="shared" ref="U98:AA98" si="233">IF(U97="Matin",1,IF(U97="AM",1,0))</f>
        <v>1</v>
      </c>
      <c r="V98" s="52">
        <f t="shared" si="233"/>
        <v>1</v>
      </c>
      <c r="W98" s="52">
        <f t="shared" si="233"/>
        <v>1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5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0</v>
      </c>
      <c r="AH98" s="52">
        <f t="shared" si="234"/>
        <v>0</v>
      </c>
      <c r="AI98" s="52">
        <f t="shared" si="234"/>
        <v>0</v>
      </c>
      <c r="AJ98" s="52">
        <f t="shared" si="234"/>
        <v>0</v>
      </c>
      <c r="AK98" s="52">
        <f>SUM(AD98:AJ98)</f>
        <v>3</v>
      </c>
      <c r="AL98" s="51"/>
      <c r="AM98" s="52">
        <f t="shared" ref="AM98:AS98" si="235">IF(AM97="Matin",1,IF(AM97="AM",1,0))</f>
        <v>0</v>
      </c>
      <c r="AN98" s="52">
        <f t="shared" si="235"/>
        <v>0</v>
      </c>
      <c r="AO98" s="52">
        <f t="shared" si="235"/>
        <v>0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0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1</v>
      </c>
      <c r="F99" s="49">
        <f t="shared" si="238"/>
        <v>1</v>
      </c>
      <c r="G99" s="49">
        <f t="shared" si="238"/>
        <v>1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3</v>
      </c>
      <c r="K99" s="48"/>
      <c r="L99" s="49">
        <f>IF(L100&gt;=1,1,0)</f>
        <v>1</v>
      </c>
      <c r="M99" s="49">
        <f t="shared" ref="M99:R99" si="240">IF(M100&gt;=1,1,0)</f>
        <v>0</v>
      </c>
      <c r="N99" s="49">
        <f t="shared" si="240"/>
        <v>0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3</v>
      </c>
      <c r="T99" s="48"/>
      <c r="U99" s="49">
        <f>IF(U100&gt;=1,1,0)</f>
        <v>1</v>
      </c>
      <c r="V99" s="49">
        <f t="shared" ref="V99:AA99" si="242">IF(V100&gt;=1,1,0)</f>
        <v>1</v>
      </c>
      <c r="W99" s="49">
        <f t="shared" si="242"/>
        <v>1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5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0</v>
      </c>
      <c r="AH99" s="49">
        <f t="shared" si="244"/>
        <v>0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3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1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4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18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8</v>
      </c>
      <c r="F100" s="52">
        <f t="shared" si="250"/>
        <v>8</v>
      </c>
      <c r="G100" s="52">
        <f t="shared" si="250"/>
        <v>8</v>
      </c>
      <c r="H100" s="52">
        <f t="shared" si="250"/>
        <v>0</v>
      </c>
      <c r="I100" s="52">
        <f t="shared" si="250"/>
        <v>0</v>
      </c>
      <c r="J100" s="52">
        <f t="shared" si="239"/>
        <v>24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0</v>
      </c>
      <c r="N100" s="52">
        <f t="shared" si="251"/>
        <v>0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24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8</v>
      </c>
      <c r="W100" s="52">
        <f t="shared" si="252"/>
        <v>8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40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0</v>
      </c>
      <c r="AH100" s="52">
        <f t="shared" si="253"/>
        <v>0</v>
      </c>
      <c r="AI100" s="52">
        <f t="shared" si="253"/>
        <v>0</v>
      </c>
      <c r="AJ100" s="52">
        <f t="shared" si="253"/>
        <v>0</v>
      </c>
      <c r="AK100" s="52">
        <f t="shared" si="245"/>
        <v>24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8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32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144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48" t="s">
        <v>20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0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0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3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3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0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0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3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0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0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5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5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0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0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5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48" t="s">
        <v>44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0.16</v>
      </c>
      <c r="F109" s="49">
        <f t="shared" si="263"/>
        <v>0.16</v>
      </c>
      <c r="G109" s="49">
        <f>IF(G97="nuit",G100*0.02,0)</f>
        <v>0.16</v>
      </c>
      <c r="H109" s="49">
        <f t="shared" si="263"/>
        <v>0</v>
      </c>
      <c r="I109" s="49">
        <f t="shared" si="263"/>
        <v>0</v>
      </c>
      <c r="J109" s="52">
        <f t="shared" si="239"/>
        <v>0.48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4">IF(N97="nuit",N100*0.02,0)</f>
        <v>0</v>
      </c>
      <c r="O109" s="49">
        <f t="shared" si="264"/>
        <v>0</v>
      </c>
      <c r="P109" s="49">
        <f>IF(P97="nuit",P100*0.02,0)</f>
        <v>0</v>
      </c>
      <c r="Q109" s="49">
        <f t="shared" si="264"/>
        <v>0</v>
      </c>
      <c r="R109" s="49">
        <f t="shared" si="264"/>
        <v>0</v>
      </c>
      <c r="S109" s="52">
        <f t="shared" si="241"/>
        <v>0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0.16</v>
      </c>
      <c r="AN109" s="49">
        <f>IF(AN97="nuit",AN100*0.02,0)</f>
        <v>0.16</v>
      </c>
      <c r="AO109" s="49">
        <f t="shared" ref="AO109:AS109" si="267">IF(AO97="nuit",AO100*0.02,0)</f>
        <v>0.16</v>
      </c>
      <c r="AP109" s="49">
        <f t="shared" si="267"/>
        <v>0.16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0.64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1.1200000000000001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51" t="s">
        <v>31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72">
        <f>Année_Calendaire</f>
        <v>2016</v>
      </c>
      <c r="I112" s="72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25</v>
      </c>
      <c r="V112" s="19"/>
      <c r="W112" s="19"/>
      <c r="X112" s="19"/>
      <c r="Y112" s="19"/>
      <c r="Z112" s="72">
        <f>Année_Calendaire</f>
        <v>2016</v>
      </c>
      <c r="AA112" s="72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25</v>
      </c>
      <c r="AN112" s="19"/>
      <c r="AO112" s="19"/>
      <c r="AP112" s="19"/>
      <c r="AQ112" s="19"/>
      <c r="AR112" s="72">
        <f>Année_Calendaire</f>
        <v>2016</v>
      </c>
      <c r="AS112" s="72"/>
      <c r="AT112" s="37"/>
      <c r="AU112" s="44"/>
      <c r="AV112" s="26"/>
      <c r="AW112" s="26"/>
      <c r="AX112" s="37"/>
    </row>
    <row r="113" spans="1:59" s="23" customFormat="1" ht="29.25" customHeight="1" x14ac:dyDescent="0.25">
      <c r="A113" s="36"/>
      <c r="B113" s="55" t="str">
        <f>IF(AU95&lt;&gt;"",AU95,IF(AL95="C1","C2",IF(AL95="C2","C3",IF(AL95="C3","C4",IF(AL95="C4","C1","")))))</f>
        <v>C3</v>
      </c>
      <c r="C113" s="53" t="s">
        <v>13</v>
      </c>
      <c r="D113" s="53" t="s">
        <v>14</v>
      </c>
      <c r="E113" s="53" t="s">
        <v>15</v>
      </c>
      <c r="F113" s="53" t="s">
        <v>16</v>
      </c>
      <c r="G113" s="53" t="s">
        <v>17</v>
      </c>
      <c r="H113" s="53" t="s">
        <v>18</v>
      </c>
      <c r="I113" s="53" t="s">
        <v>19</v>
      </c>
      <c r="J113" s="73" t="s">
        <v>32</v>
      </c>
      <c r="K113" s="55" t="str">
        <f>IF(B113="C1","C2",IF(B113="C2","C3",IF(B113="C3","C4",IF(B113="C4","C1",""))))</f>
        <v>C4</v>
      </c>
      <c r="L113" s="53" t="str">
        <f>IF(L114&lt;&gt;"","Lun","")</f>
        <v>Lun</v>
      </c>
      <c r="M113" s="53" t="str">
        <f>IF(M114&lt;&gt;"","Mar","")</f>
        <v>Mar</v>
      </c>
      <c r="N113" s="53" t="str">
        <f>IF(N114&lt;&gt;"","Mer","")</f>
        <v>Mer</v>
      </c>
      <c r="O113" s="53" t="str">
        <f>IF(O114&lt;&gt;"","Jeu","")</f>
        <v>Jeu</v>
      </c>
      <c r="P113" s="53" t="str">
        <f>IF(P114&lt;&gt;"","Ven","")</f>
        <v>Ven</v>
      </c>
      <c r="Q113" s="53" t="str">
        <f>IF(Q114&lt;&gt;"","Sam","")</f>
        <v>Sam</v>
      </c>
      <c r="R113" s="53" t="str">
        <f>IF(R114&lt;&gt;"","Dim","")</f>
        <v>Dim</v>
      </c>
      <c r="S113" s="73" t="s">
        <v>32</v>
      </c>
      <c r="T113" s="55" t="str">
        <f>IF(K113="C1","C2",IF(K113="C2","C3",IF(K113="C3","C4",IF(K113="C4","C1",""))))</f>
        <v>C1</v>
      </c>
      <c r="U113" s="53" t="str">
        <f>IF(U114&lt;&gt;"","Lun","")</f>
        <v>Lun</v>
      </c>
      <c r="V113" s="53" t="str">
        <f>IF(V114&lt;&gt;"","Mar","")</f>
        <v>Mar</v>
      </c>
      <c r="W113" s="53" t="str">
        <f>IF(W114&lt;&gt;"","Mer","")</f>
        <v>Mer</v>
      </c>
      <c r="X113" s="53" t="str">
        <f>IF(X114&lt;&gt;"","Jeu","")</f>
        <v>Jeu</v>
      </c>
      <c r="Y113" s="53" t="str">
        <f>IF(Y114&lt;&gt;"","Ven","")</f>
        <v>Ven</v>
      </c>
      <c r="Z113" s="53" t="str">
        <f>IF(Z114&lt;&gt;"","Sam","")</f>
        <v>Sam</v>
      </c>
      <c r="AA113" s="53" t="str">
        <f>IF(AA114&lt;&gt;"","Dim","")</f>
        <v>Dim</v>
      </c>
      <c r="AB113" s="73" t="s">
        <v>32</v>
      </c>
      <c r="AC113" s="55" t="str">
        <f>IF(T113="C1","C2",IF(T113="C2","C3",IF(T113="C3","C4",IF(T113="C4","C1",""))))</f>
        <v>C2</v>
      </c>
      <c r="AD113" s="53" t="str">
        <f>IF(AD114&lt;&gt;"","Lun","")</f>
        <v>Lun</v>
      </c>
      <c r="AE113" s="53" t="str">
        <f>IF(AE114&lt;&gt;"","Mar","")</f>
        <v>Mar</v>
      </c>
      <c r="AF113" s="53" t="str">
        <f>IF(AF114&lt;&gt;"","Mer","")</f>
        <v>Mer</v>
      </c>
      <c r="AG113" s="53" t="str">
        <f>IF(AG114&lt;&gt;"","Jeu","")</f>
        <v>Jeu</v>
      </c>
      <c r="AH113" s="53" t="str">
        <f>IF(AH114&lt;&gt;"","Ven","")</f>
        <v>Ven</v>
      </c>
      <c r="AI113" s="53" t="str">
        <f>IF(AI114&lt;&gt;"","Sam","")</f>
        <v>Sam</v>
      </c>
      <c r="AJ113" s="53" t="str">
        <f>IF(AJ114&lt;&gt;"","Dim","")</f>
        <v>Dim</v>
      </c>
      <c r="AK113" s="73" t="s">
        <v>32</v>
      </c>
      <c r="AL113" s="55" t="str">
        <f>IF(AC113="C1","C2",IF(AC113="C2","C3",IF(AC113="C3","C4",IF(AC113="C4","C1",""))))</f>
        <v>C3</v>
      </c>
      <c r="AM113" s="53" t="str">
        <f>IF(AM114&lt;&gt;"","Lun","")</f>
        <v>Lun</v>
      </c>
      <c r="AN113" s="53" t="str">
        <f>IF(AN114&lt;&gt;"","Mar","")</f>
        <v>Mar</v>
      </c>
      <c r="AO113" s="53" t="str">
        <f>IF(AO114&lt;&gt;"","Mer","")</f>
        <v>Mer</v>
      </c>
      <c r="AP113" s="53" t="str">
        <f>IF(AP114&lt;&gt;"","Jeu","")</f>
        <v>Jeu</v>
      </c>
      <c r="AQ113" s="53" t="str">
        <f>IF(AQ114&lt;&gt;"","Ven","")</f>
        <v>Ven</v>
      </c>
      <c r="AR113" s="53" t="str">
        <f>IF(AR114&lt;&gt;"","Sam","")</f>
        <v>Sam</v>
      </c>
      <c r="AS113" s="53" t="str">
        <f>IF(AS114&lt;&gt;"","Dim","")</f>
        <v>Dim</v>
      </c>
      <c r="AT113" s="73" t="s">
        <v>32</v>
      </c>
      <c r="AU113" s="55" t="str">
        <f>IF(AV113&lt;&gt;"",IF(AL113="C1","C2",IF(AL113="C2","C3",IF(AL113="C3","C4",IF(AL113="C4","C1","")))),"")</f>
        <v/>
      </c>
      <c r="AV113" s="53" t="str">
        <f>IF(AV114&lt;&gt;"","Lun","")</f>
        <v/>
      </c>
      <c r="AW113" s="53" t="str">
        <f>IF(AW114&lt;&gt;"","Mar","")</f>
        <v/>
      </c>
      <c r="AX113" s="73" t="s">
        <v>32</v>
      </c>
      <c r="AY113" s="73" t="s">
        <v>35</v>
      </c>
      <c r="AZ113" s="74">
        <f>AY120+AY121+AY122</f>
        <v>10</v>
      </c>
      <c r="BA113" s="74">
        <f>AZ113+BA95</f>
        <v>60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54"/>
      <c r="C114" s="54" t="str">
        <f>IF(DAY(Juil_Dim1)=1,"",IF(AND(YEAR(Juil_Dim1+1)=Année_Calendaire,MONTH(Juil_Dim1+1)=7),Juil_Dim1+1,""))</f>
        <v/>
      </c>
      <c r="D114" s="54" t="str">
        <f>IF(DAY(Juil_Dim1)=1,"",IF(AND(YEAR(Juil_Dim1+2)=Année_Calendaire,MONTH(Juil_Dim1+2)=7),Juil_Dim1+2,""))</f>
        <v/>
      </c>
      <c r="E114" s="54" t="str">
        <f>IF(DAY(Juil_Dim1)=1,"",IF(AND(YEAR(Juil_Dim1+3)=Année_Calendaire,MONTH(Juil_Dim1+3)=7),Juil_Dim1+3,""))</f>
        <v/>
      </c>
      <c r="F114" s="54" t="str">
        <f>IF(DAY(Juil_Dim1)=1,"",IF(AND(YEAR(Juil_Dim1+4)=Année_Calendaire,MONTH(Juil_Dim1+4)=7),Juil_Dim1+4,""))</f>
        <v/>
      </c>
      <c r="G114" s="54">
        <f>IF(DAY(Juil_Dim1)=1,"",IF(AND(YEAR(Juil_Dim1+5)=Année_Calendaire,MONTH(Juil_Dim1+5)=7),Juil_Dim1+5,""))</f>
        <v>42552</v>
      </c>
      <c r="H114" s="54">
        <f>IF(DAY(Juil_Dim1)=1,"",IF(AND(YEAR(Juil_Dim1+6)=Année_Calendaire,MONTH(Juil_Dim1+6)=7),Juil_Dim1+6,""))</f>
        <v>42553</v>
      </c>
      <c r="I114" s="54">
        <f>IF(DAY(Juil_Dim1)=1,IF(AND(YEAR(Juil_Dim1)=Année_Calendaire,MONTH(Juil_Dim1)=7),Juil_Dim1,""),IF(AND(YEAR(Juil_Dim1+7)=Année_Calendaire,MONTH(Juil_Dim1+7)=7),Juil_Dim1+7,""))</f>
        <v>42554</v>
      </c>
      <c r="J114" s="73"/>
      <c r="K114" s="54"/>
      <c r="L114" s="54">
        <f>IF(DAY(Juil_Dim1)=1,IF(AND(YEAR(Juil_Dim1+1)=Année_Calendaire,MONTH(Juil_Dim1+1)=7),Juil_Dim1+1,""),IF(AND(YEAR(Juil_Dim1+8)=Année_Calendaire,MONTH(Juil_Dim1+8)=7),Juil_Dim1+8,""))</f>
        <v>42555</v>
      </c>
      <c r="M114" s="54">
        <f>IF(DAY(Juil_Dim1)=1,IF(AND(YEAR(Juil_Dim1+2)=Année_Calendaire,MONTH(Juil_Dim1+2)=7),Juil_Dim1+2,""),IF(AND(YEAR(Juil_Dim1+9)=Année_Calendaire,MONTH(Juil_Dim1+9)=7),Juil_Dim1+9,""))</f>
        <v>42556</v>
      </c>
      <c r="N114" s="54">
        <f>IF(DAY(Juil_Dim1)=1,IF(AND(YEAR(Juil_Dim1+3)=Année_Calendaire,MONTH(Juil_Dim1+3)=7),Juil_Dim1+3,""),IF(AND(YEAR(Juil_Dim1+10)=Année_Calendaire,MONTH(Juil_Dim1+10)=7),Juil_Dim1+10,""))</f>
        <v>42557</v>
      </c>
      <c r="O114" s="54">
        <f>IF(DAY(Juil_Dim1)=1,IF(AND(YEAR(Juil_Dim1+4)=Année_Calendaire,MONTH(Juil_Dim1+4)=7),Juil_Dim1+4,""),IF(AND(YEAR(Juil_Dim1+11)=Année_Calendaire,MONTH(Juil_Dim1+11)=7),Juil_Dim1+11,""))</f>
        <v>42558</v>
      </c>
      <c r="P114" s="54">
        <f>IF(DAY(Juil_Dim1)=1,IF(AND(YEAR(Juil_Dim1+5)=Année_Calendaire,MONTH(Juil_Dim1+5)=7),Juil_Dim1+5,""),IF(AND(YEAR(Juil_Dim1+12)=Année_Calendaire,MONTH(Juil_Dim1+12)=7),Juil_Dim1+12,""))</f>
        <v>42559</v>
      </c>
      <c r="Q114" s="54">
        <f>IF(DAY(Juil_Dim1)=1,IF(AND(YEAR(Juil_Dim1+6)=Année_Calendaire,MONTH(Juil_Dim1+6)=7),Juil_Dim1+6,""),IF(AND(YEAR(Juil_Dim1+13)=Année_Calendaire,MONTH(Juil_Dim1+13)=7),Juil_Dim1+13,""))</f>
        <v>42560</v>
      </c>
      <c r="R114" s="54">
        <f>IF(DAY(Juil_Dim1)=1,IF(AND(YEAR(Juil_Dim1+7)=Année_Calendaire,MONTH(Juil_Dim1+7)=7),Juil_Dim1+7,""),IF(AND(YEAR(Juil_Dim1+14)=Année_Calendaire,MONTH(Juil_Dim1+14)=7),Juil_Dim1+14,""))</f>
        <v>42561</v>
      </c>
      <c r="S114" s="73"/>
      <c r="T114" s="54"/>
      <c r="U114" s="54">
        <f>IF(DAY(Juil_Dim1)=1,IF(AND(YEAR(Juil_Dim1+8)=Année_Calendaire,MONTH(Juil_Dim1+8)=7),Juil_Dim1+8,""),IF(AND(YEAR(Juil_Dim1+15)=Année_Calendaire,MONTH(Juil_Dim1+15)=7),Juil_Dim1+15,""))</f>
        <v>42562</v>
      </c>
      <c r="V114" s="54">
        <f>IF(DAY(Juil_Dim1)=1,IF(AND(YEAR(Juil_Dim1+9)=Année_Calendaire,MONTH(Juil_Dim1+9)=7),Juil_Dim1+9,""),IF(AND(YEAR(Juil_Dim1+16)=Année_Calendaire,MONTH(Juil_Dim1+16)=7),Juil_Dim1+16,""))</f>
        <v>42563</v>
      </c>
      <c r="W114" s="54">
        <f>IF(DAY(Juil_Dim1)=1,IF(AND(YEAR(Juil_Dim1+10)=Année_Calendaire,MONTH(Juil_Dim1+10)=7),Juil_Dim1+10,""),IF(AND(YEAR(Juil_Dim1+17)=Année_Calendaire,MONTH(Juil_Dim1+17)=7),Juil_Dim1+17,""))</f>
        <v>42564</v>
      </c>
      <c r="X114" s="54">
        <f>IF(DAY(Juil_Dim1)=1,IF(AND(YEAR(Juil_Dim1+11)=Année_Calendaire,MONTH(Juil_Dim1+11)=7),Juil_Dim1+11,""),IF(AND(YEAR(Juil_Dim1+18)=Année_Calendaire,MONTH(Juil_Dim1+18)=7),Juil_Dim1+18,""))</f>
        <v>42565</v>
      </c>
      <c r="Y114" s="54">
        <f>IF(DAY(Juil_Dim1)=1,IF(AND(YEAR(Juil_Dim1+12)=Année_Calendaire,MONTH(Juil_Dim1+12)=7),Juil_Dim1+12,""),IF(AND(YEAR(Juil_Dim1+19)=Année_Calendaire,MONTH(Juil_Dim1+19)=7),Juil_Dim1+19,""))</f>
        <v>42566</v>
      </c>
      <c r="Z114" s="54">
        <f>IF(DAY(Juil_Dim1)=1,IF(AND(YEAR(Juil_Dim1+13)=Année_Calendaire,MONTH(Juil_Dim1+13)=7),Juil_Dim1+13,""),IF(AND(YEAR(Juil_Dim1+20)=Année_Calendaire,MONTH(Juil_Dim1+20)=7),Juil_Dim1+20,""))</f>
        <v>42567</v>
      </c>
      <c r="AA114" s="54">
        <f>IF(DAY(Juil_Dim1)=1,IF(AND(YEAR(Juil_Dim1+14)=Année_Calendaire,MONTH(Juil_Dim1+14)=7),Juil_Dim1+14,""),IF(AND(YEAR(Juil_Dim1+21)=Année_Calendaire,MONTH(Juil_Dim1+21)=7),Juil_Dim1+21,""))</f>
        <v>42568</v>
      </c>
      <c r="AB114" s="73"/>
      <c r="AC114" s="54"/>
      <c r="AD114" s="54">
        <f>IF(DAY(Juil_Dim1)=1,IF(AND(YEAR(Juil_Dim1+15)=Année_Calendaire,MONTH(Juil_Dim1+15)=7),Juil_Dim1+15,""),IF(AND(YEAR(Juil_Dim1+22)=Année_Calendaire,MONTH(Juil_Dim1+22)=7),Juil_Dim1+22,""))</f>
        <v>42569</v>
      </c>
      <c r="AE114" s="54">
        <f>IF(DAY(Juil_Dim1)=1,IF(AND(YEAR(Juil_Dim1+16)=Année_Calendaire,MONTH(Juil_Dim1+16)=7),Juil_Dim1+16,""),IF(AND(YEAR(Juil_Dim1+23)=Année_Calendaire,MONTH(Juil_Dim1+23)=7),Juil_Dim1+23,""))</f>
        <v>42570</v>
      </c>
      <c r="AF114" s="54">
        <f>IF(DAY(Juil_Dim1)=1,IF(AND(YEAR(Juil_Dim1+17)=Année_Calendaire,MONTH(Juil_Dim1+17)=7),Juil_Dim1+17,""),IF(AND(YEAR(Juil_Dim1+24)=Année_Calendaire,MONTH(Juil_Dim1+24)=7),Juil_Dim1+24,""))</f>
        <v>42571</v>
      </c>
      <c r="AG114" s="54">
        <f>IF(DAY(Juil_Dim1)=1,IF(AND(YEAR(Juil_Dim1+18)=Année_Calendaire,MONTH(Juil_Dim1+18)=7),Juil_Dim1+18,""),IF(AND(YEAR(Juil_Dim1+25)=Année_Calendaire,MONTH(Juil_Dim1+25)=7),Juil_Dim1+25,""))</f>
        <v>42572</v>
      </c>
      <c r="AH114" s="54">
        <f>IF(DAY(Juil_Dim1)=1,IF(AND(YEAR(Juil_Dim1+19)=Année_Calendaire,MONTH(Juil_Dim1+19)=7),Juil_Dim1+19,""),IF(AND(YEAR(Juil_Dim1+26)=Année_Calendaire,MONTH(Juil_Dim1+26)=7),Juil_Dim1+26,""))</f>
        <v>42573</v>
      </c>
      <c r="AI114" s="54">
        <f>IF(DAY(Juil_Dim1)=1,IF(AND(YEAR(Juil_Dim1+20)=Année_Calendaire,MONTH(Juil_Dim1+20)=7),Juil_Dim1+20,""),IF(AND(YEAR(Juil_Dim1+27)=Année_Calendaire,MONTH(Juil_Dim1+27)=7),Juil_Dim1+27,""))</f>
        <v>42574</v>
      </c>
      <c r="AJ114" s="54">
        <f>IF(DAY(Juil_Dim1)=1,IF(AND(YEAR(Juil_Dim1+21)=Année_Calendaire,MONTH(Juil_Dim1+21)=7),Juil_Dim1+21,""),IF(AND(YEAR(Juil_Dim1+28)=Année_Calendaire,MONTH(Juil_Dim1+28)=7),Juil_Dim1+28,""))</f>
        <v>42575</v>
      </c>
      <c r="AK114" s="73"/>
      <c r="AL114" s="54"/>
      <c r="AM114" s="54">
        <f>IF(DAY(Juil_Dim1)=1,IF(AND(YEAR(Juil_Dim1+22)=Année_Calendaire,MONTH(Juil_Dim1+22)=7),Juil_Dim1+22,""),IF(AND(YEAR(Juil_Dim1+29)=Année_Calendaire,MONTH(Juil_Dim1+29)=7),Juil_Dim1+29,""))</f>
        <v>42576</v>
      </c>
      <c r="AN114" s="54">
        <f>IF(DAY(Juil_Dim1)=1,IF(AND(YEAR(Juil_Dim1+23)=Année_Calendaire,MONTH(Juil_Dim1+23)=7),Juil_Dim1+23,""),IF(AND(YEAR(Juil_Dim1+30)=Année_Calendaire,MONTH(Juil_Dim1+30)=7),Juil_Dim1+30,""))</f>
        <v>42577</v>
      </c>
      <c r="AO114" s="54">
        <f>IF(DAY(Juil_Dim1)=1,IF(AND(YEAR(Juil_Dim1+24)=Année_Calendaire,MONTH(Juil_Dim1+24)=7),Juil_Dim1+24,""),IF(AND(YEAR(Juil_Dim1+31)=Année_Calendaire,MONTH(Juil_Dim1+31)=7),Juil_Dim1+31,""))</f>
        <v>42578</v>
      </c>
      <c r="AP114" s="54">
        <f>IF(DAY(Juil_Dim1)=1,IF(AND(YEAR(Juil_Dim1+25)=Année_Calendaire,MONTH(Juil_Dim1+25)=7),Juil_Dim1+25,""),IF(AND(YEAR(Juil_Dim1+32)=Année_Calendaire,MONTH(Juil_Dim1+32)=7),Juil_Dim1+32,""))</f>
        <v>42579</v>
      </c>
      <c r="AQ114" s="54">
        <f>IF(DAY(Juil_Dim1)=1,IF(AND(YEAR(Juil_Dim1+26)=Année_Calendaire,MONTH(Juil_Dim1+26)=7),Juil_Dim1+26,""),IF(AND(YEAR(Juil_Dim1+33)=Année_Calendaire,MONTH(Juil_Dim1+33)=7),Juil_Dim1+33,""))</f>
        <v>42580</v>
      </c>
      <c r="AR114" s="54">
        <f>IF(DAY(Juil_Dim1)=1,IF(AND(YEAR(Juil_Dim1+27)=Année_Calendaire,MONTH(Juil_Dim1+27)=7),Juil_Dim1+27,""),IF(AND(YEAR(Juil_Dim1+34)=Année_Calendaire,MONTH(Juil_Dim1+34)=7),Juil_Dim1+34,""))</f>
        <v>42581</v>
      </c>
      <c r="AS114" s="54">
        <f>IF(DAY(Juil_Dim1)=1,IF(AND(YEAR(Juil_Dim1+28)=Année_Calendaire,MONTH(Juil_Dim1+28)=7),Juil_Dim1+28,""),IF(AND(YEAR(Juil_Dim1+35)=Année_Calendaire,MONTH(Juil_Dim1+35)=7),Juil_Dim1+35,""))</f>
        <v>42582</v>
      </c>
      <c r="AT114" s="73"/>
      <c r="AU114" s="54"/>
      <c r="AV114" s="54" t="str">
        <f>IF(DAY(Juil_Dim1)=1,IF(AND(YEAR(Juil_Dim1+29)=Année_Calendaire,MONTH(Juil_Dim1+29)=7),Juil_Dim1+29,""),IF(AND(YEAR(Juil_Dim1+36)=Année_Calendaire,MONTH(Juil_Dim1+36)=7),Juil_Dim1+36,""))</f>
        <v/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73"/>
      <c r="AY114" s="73"/>
      <c r="AZ114" s="74"/>
      <c r="BA114" s="74"/>
      <c r="BB114" s="32"/>
      <c r="BC114" s="32"/>
      <c r="BD114" s="32"/>
      <c r="BE114" s="32"/>
      <c r="BF114" s="24"/>
    </row>
    <row r="115" spans="1:59" s="5" customFormat="1" ht="15" customHeight="1" x14ac:dyDescent="0.25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>matin</v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am</v>
      </c>
      <c r="M115" s="49" t="str">
        <f>IF(M114="","",IFERROR(VLOOKUP(K113,DATA!$A:$H,3,TRUE),0))</f>
        <v>am</v>
      </c>
      <c r="N115" s="49" t="str">
        <f>IF(N114="","",IFERROR(VLOOKUP(K113,DATA!$A:$H,4,TRUE),0))</f>
        <v>am</v>
      </c>
      <c r="O115" s="49" t="str">
        <f>IF(O114="","",IFERROR(VLOOKUP(K113,DATA!$A:$H,5,TRUE),0))</f>
        <v>am</v>
      </c>
      <c r="P115" s="49" t="str">
        <f>IF(P114="","",IFERROR(VLOOKUP(K113,DATA!$A:$H,6,TRUE),0))</f>
        <v>am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 t="str">
        <f>IF(V114="","",IFERROR(VLOOKUP(T113,DATA!$A:$H,3,TRUE),0))</f>
        <v>matin</v>
      </c>
      <c r="W115" s="49" t="str">
        <f>IF(W114="","",IFERROR(VLOOKUP(T113,DATA!$A:$H,4,TRUE),0))</f>
        <v>matin</v>
      </c>
      <c r="X115" s="49">
        <f>IF(X114="","",IFERROR(VLOOKUP(T113,DATA!$A:$H,5,TRUE),0))</f>
        <v>0</v>
      </c>
      <c r="Y115" s="49">
        <f>IF(Y114="","",IFERROR(VLOOKUP(T113,DATA!$A:$H,6,TRUE),0))</f>
        <v>0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nuit</v>
      </c>
      <c r="AE115" s="49" t="str">
        <f>IF(AE114="","",IFERROR(VLOOKUP(AC113,DATA!$A:$H,3,TRUE),0))</f>
        <v>nuit</v>
      </c>
      <c r="AF115" s="49" t="str">
        <f>IF(AF114="","",IFERROR(VLOOKUP(AC113,DATA!$A:$H,4,TRUE),0))</f>
        <v>nuit</v>
      </c>
      <c r="AG115" s="49" t="str">
        <f>IF(AG114="","",IFERROR(VLOOKUP(AC113,DATA!$A:$H,5,TRUE),0))</f>
        <v>nuit</v>
      </c>
      <c r="AH115" s="49" t="str">
        <f>IF(AH114="","",IFERROR(VLOOKUP(AC113,DATA!$A:$H,6,TRUE),0))</f>
        <v>nuit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>
        <f>IF(AN114="","",IFERROR(VLOOKUP(AL113,DATA!$A:$H,3,TRUE),0))</f>
        <v>0</v>
      </c>
      <c r="AO115" s="49">
        <f>IF(AO114="","",IFERROR(VLOOKUP(AL113,DATA!$A:$H,4,TRUE),0))</f>
        <v>0</v>
      </c>
      <c r="AP115" s="49" t="str">
        <f>IF(AP114="","",IFERROR(VLOOKUP(AL113,DATA!$A:$H,5,TRUE),0))</f>
        <v>matin</v>
      </c>
      <c r="AQ115" s="49" t="str">
        <f>IF(AQ114="","",IFERROR(VLOOKUP(AL113,DATA!$A:$H,6,TRUE),0))</f>
        <v>matin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/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1</v>
      </c>
      <c r="H116" s="52">
        <f t="shared" si="268"/>
        <v>0</v>
      </c>
      <c r="I116" s="52">
        <f t="shared" si="268"/>
        <v>0</v>
      </c>
      <c r="J116" s="52">
        <f>SUM(C116:I116)</f>
        <v>1</v>
      </c>
      <c r="K116" s="51"/>
      <c r="L116" s="52">
        <f t="shared" ref="L116:R116" si="269">IF(L115="Matin",1,IF(L115="AM",1,0))</f>
        <v>1</v>
      </c>
      <c r="M116" s="52">
        <f t="shared" si="269"/>
        <v>1</v>
      </c>
      <c r="N116" s="52">
        <f t="shared" si="269"/>
        <v>1</v>
      </c>
      <c r="O116" s="52">
        <f t="shared" si="269"/>
        <v>1</v>
      </c>
      <c r="P116" s="52">
        <f t="shared" si="269"/>
        <v>1</v>
      </c>
      <c r="Q116" s="52">
        <f t="shared" si="269"/>
        <v>0</v>
      </c>
      <c r="R116" s="52">
        <f t="shared" si="269"/>
        <v>0</v>
      </c>
      <c r="S116" s="52">
        <f>SUM(L116:R116)</f>
        <v>5</v>
      </c>
      <c r="T116" s="51"/>
      <c r="U116" s="52">
        <f t="shared" ref="U116:AA116" si="270">IF(U115="Matin",1,IF(U115="AM",1,0))</f>
        <v>1</v>
      </c>
      <c r="V116" s="52">
        <f t="shared" si="270"/>
        <v>1</v>
      </c>
      <c r="W116" s="52">
        <f t="shared" si="270"/>
        <v>1</v>
      </c>
      <c r="X116" s="52">
        <f t="shared" si="270"/>
        <v>0</v>
      </c>
      <c r="Y116" s="52">
        <f t="shared" si="270"/>
        <v>0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0</v>
      </c>
      <c r="AE116" s="52">
        <f t="shared" si="271"/>
        <v>0</v>
      </c>
      <c r="AF116" s="52">
        <f t="shared" si="271"/>
        <v>0</v>
      </c>
      <c r="AG116" s="52">
        <f t="shared" si="271"/>
        <v>0</v>
      </c>
      <c r="AH116" s="52">
        <f t="shared" si="271"/>
        <v>0</v>
      </c>
      <c r="AI116" s="52">
        <f t="shared" si="271"/>
        <v>0</v>
      </c>
      <c r="AJ116" s="52">
        <f t="shared" si="271"/>
        <v>0</v>
      </c>
      <c r="AK116" s="52">
        <f>SUM(AD116:AJ116)</f>
        <v>0</v>
      </c>
      <c r="AL116" s="51"/>
      <c r="AM116" s="52">
        <f t="shared" ref="AM116:AS116" si="272">IF(AM115="Matin",1,IF(AM115="AM",1,0))</f>
        <v>1</v>
      </c>
      <c r="AN116" s="52">
        <f t="shared" si="272"/>
        <v>0</v>
      </c>
      <c r="AO116" s="52">
        <f t="shared" si="272"/>
        <v>0</v>
      </c>
      <c r="AP116" s="52">
        <f t="shared" si="272"/>
        <v>1</v>
      </c>
      <c r="AQ116" s="52">
        <f t="shared" si="272"/>
        <v>1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1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1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1</v>
      </c>
      <c r="W117" s="49">
        <f t="shared" si="279"/>
        <v>1</v>
      </c>
      <c r="X117" s="49">
        <f t="shared" si="279"/>
        <v>0</v>
      </c>
      <c r="Y117" s="49">
        <f t="shared" si="279"/>
        <v>0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0</v>
      </c>
      <c r="AO117" s="49">
        <f t="shared" si="283"/>
        <v>0</v>
      </c>
      <c r="AP117" s="49">
        <f t="shared" si="283"/>
        <v>1</v>
      </c>
      <c r="AQ117" s="49">
        <f t="shared" si="283"/>
        <v>1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0</v>
      </c>
      <c r="AW117" s="49">
        <f t="shared" ref="AW117" si="285">IF(AW118&gt;=1,1,0)</f>
        <v>0</v>
      </c>
      <c r="AX117" s="52">
        <f t="shared" si="274"/>
        <v>0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8</v>
      </c>
      <c r="H118" s="52">
        <f t="shared" si="287"/>
        <v>0</v>
      </c>
      <c r="I118" s="52">
        <f t="shared" si="287"/>
        <v>0</v>
      </c>
      <c r="J118" s="52">
        <f t="shared" si="276"/>
        <v>8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8</v>
      </c>
      <c r="W118" s="52">
        <f t="shared" si="289"/>
        <v>8</v>
      </c>
      <c r="X118" s="52">
        <f t="shared" si="289"/>
        <v>0</v>
      </c>
      <c r="Y118" s="52">
        <f t="shared" si="289"/>
        <v>0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0</v>
      </c>
      <c r="AO118" s="52">
        <f t="shared" si="291"/>
        <v>0</v>
      </c>
      <c r="AP118" s="52">
        <f t="shared" si="291"/>
        <v>8</v>
      </c>
      <c r="AQ118" s="52">
        <f t="shared" si="291"/>
        <v>8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0</v>
      </c>
      <c r="AW118" s="52">
        <f t="shared" ref="AW118" si="292">IF(AW115="Matin",8,IF(AW115="AM",8,IF(AW115="nuit",8,0)))</f>
        <v>0</v>
      </c>
      <c r="AX118" s="52">
        <f t="shared" si="274"/>
        <v>0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48" t="s">
        <v>20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48" t="s">
        <v>44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300">IF(N115="nuit",N118*0.02,0)</f>
        <v>0</v>
      </c>
      <c r="O127" s="49">
        <f t="shared" si="300"/>
        <v>0</v>
      </c>
      <c r="P127" s="49">
        <f>IF(P115="nuit",P118*0.02,0)</f>
        <v>0</v>
      </c>
      <c r="Q127" s="49">
        <f t="shared" si="300"/>
        <v>0</v>
      </c>
      <c r="R127" s="49">
        <f t="shared" si="300"/>
        <v>0</v>
      </c>
      <c r="S127" s="52">
        <f t="shared" si="278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0.16</v>
      </c>
      <c r="AE127" s="49">
        <f>IF(AE115="nuit",AE118*0.02,0)</f>
        <v>0.16</v>
      </c>
      <c r="AF127" s="49">
        <f t="shared" ref="AF127:AJ127" si="302">IF(AF115="nuit",AF118*0.02,0)</f>
        <v>0.16</v>
      </c>
      <c r="AG127" s="49">
        <f t="shared" si="302"/>
        <v>0.16</v>
      </c>
      <c r="AH127" s="49">
        <f>IF(AH115="nuit",AH118*0.02,0)</f>
        <v>0.16</v>
      </c>
      <c r="AI127" s="49">
        <f t="shared" si="302"/>
        <v>0</v>
      </c>
      <c r="AJ127" s="49">
        <f t="shared" si="302"/>
        <v>0</v>
      </c>
      <c r="AK127" s="52">
        <f t="shared" si="282"/>
        <v>0.8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51" t="s">
        <v>31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72">
        <f>Année_Calendaire</f>
        <v>2016</v>
      </c>
      <c r="I130" s="72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26</v>
      </c>
      <c r="V130" s="19"/>
      <c r="W130" s="19"/>
      <c r="X130" s="19"/>
      <c r="Y130" s="19"/>
      <c r="Z130" s="72">
        <f>Année_Calendaire</f>
        <v>2016</v>
      </c>
      <c r="AA130" s="72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26</v>
      </c>
      <c r="AN130" s="19"/>
      <c r="AO130" s="19"/>
      <c r="AP130" s="19"/>
      <c r="AQ130" s="19"/>
      <c r="AR130" s="72">
        <f>Année_Calendaire</f>
        <v>2016</v>
      </c>
      <c r="AS130" s="72"/>
      <c r="AT130" s="37"/>
      <c r="AU130" s="44"/>
      <c r="AV130" s="26"/>
      <c r="AW130" s="26"/>
      <c r="AX130" s="37"/>
    </row>
    <row r="131" spans="1:59" s="23" customFormat="1" ht="29.25" customHeight="1" x14ac:dyDescent="0.25">
      <c r="A131" s="36"/>
      <c r="B131" s="55" t="str">
        <f>IF(AU113&lt;&gt;"",AU113,IF(AL113="C1","C2",IF(AL113="C2","C3",IF(AL113="C3","C4",IF(AL113="C4","C1","")))))</f>
        <v>C4</v>
      </c>
      <c r="C131" s="53" t="s">
        <v>13</v>
      </c>
      <c r="D131" s="53" t="s">
        <v>14</v>
      </c>
      <c r="E131" s="53" t="s">
        <v>15</v>
      </c>
      <c r="F131" s="53" t="s">
        <v>16</v>
      </c>
      <c r="G131" s="53" t="s">
        <v>17</v>
      </c>
      <c r="H131" s="53" t="s">
        <v>18</v>
      </c>
      <c r="I131" s="53" t="s">
        <v>19</v>
      </c>
      <c r="J131" s="73" t="s">
        <v>32</v>
      </c>
      <c r="K131" s="55" t="str">
        <f>IF(B131="C1","C2",IF(B131="C2","C3",IF(B131="C3","C4",IF(B131="C4","C1",""))))</f>
        <v>C1</v>
      </c>
      <c r="L131" s="53" t="str">
        <f>IF(L132&lt;&gt;"","Lun","")</f>
        <v>Lun</v>
      </c>
      <c r="M131" s="53" t="str">
        <f>IF(M132&lt;&gt;"","Mar","")</f>
        <v>Mar</v>
      </c>
      <c r="N131" s="53" t="str">
        <f>IF(N132&lt;&gt;"","Mer","")</f>
        <v>Mer</v>
      </c>
      <c r="O131" s="53" t="str">
        <f>IF(O132&lt;&gt;"","Jeu","")</f>
        <v>Jeu</v>
      </c>
      <c r="P131" s="53" t="str">
        <f>IF(P132&lt;&gt;"","Ven","")</f>
        <v>Ven</v>
      </c>
      <c r="Q131" s="53" t="str">
        <f>IF(Q132&lt;&gt;"","Sam","")</f>
        <v>Sam</v>
      </c>
      <c r="R131" s="53" t="str">
        <f>IF(R132&lt;&gt;"","Dim","")</f>
        <v>Dim</v>
      </c>
      <c r="S131" s="73" t="s">
        <v>32</v>
      </c>
      <c r="T131" s="55" t="str">
        <f>IF(K131="C1","C2",IF(K131="C2","C3",IF(K131="C3","C4",IF(K131="C4","C1",""))))</f>
        <v>C2</v>
      </c>
      <c r="U131" s="53" t="str">
        <f>IF(U132&lt;&gt;"","Lun","")</f>
        <v>Lun</v>
      </c>
      <c r="V131" s="53" t="str">
        <f>IF(V132&lt;&gt;"","Mar","")</f>
        <v>Mar</v>
      </c>
      <c r="W131" s="53" t="str">
        <f>IF(W132&lt;&gt;"","Mer","")</f>
        <v>Mer</v>
      </c>
      <c r="X131" s="53" t="str">
        <f>IF(X132&lt;&gt;"","Jeu","")</f>
        <v>Jeu</v>
      </c>
      <c r="Y131" s="53" t="str">
        <f>IF(Y132&lt;&gt;"","Ven","")</f>
        <v>Ven</v>
      </c>
      <c r="Z131" s="53" t="str">
        <f>IF(Z132&lt;&gt;"","Sam","")</f>
        <v>Sam</v>
      </c>
      <c r="AA131" s="53" t="str">
        <f>IF(AA132&lt;&gt;"","Dim","")</f>
        <v>Dim</v>
      </c>
      <c r="AB131" s="73" t="s">
        <v>32</v>
      </c>
      <c r="AC131" s="55" t="str">
        <f>IF(T131="C1","C2",IF(T131="C2","C3",IF(T131="C3","C4",IF(T131="C4","C1",""))))</f>
        <v>C3</v>
      </c>
      <c r="AD131" s="53" t="str">
        <f>IF(AD132&lt;&gt;"","Lun","")</f>
        <v>Lun</v>
      </c>
      <c r="AE131" s="53" t="str">
        <f>IF(AE132&lt;&gt;"","Mar","")</f>
        <v>Mar</v>
      </c>
      <c r="AF131" s="53" t="str">
        <f>IF(AF132&lt;&gt;"","Mer","")</f>
        <v>Mer</v>
      </c>
      <c r="AG131" s="53" t="str">
        <f>IF(AG132&lt;&gt;"","Jeu","")</f>
        <v>Jeu</v>
      </c>
      <c r="AH131" s="53" t="str">
        <f>IF(AH132&lt;&gt;"","Ven","")</f>
        <v>Ven</v>
      </c>
      <c r="AI131" s="53" t="str">
        <f>IF(AI132&lt;&gt;"","Sam","")</f>
        <v>Sam</v>
      </c>
      <c r="AJ131" s="53" t="str">
        <f>IF(AJ132&lt;&gt;"","Dim","")</f>
        <v>Dim</v>
      </c>
      <c r="AK131" s="73" t="s">
        <v>32</v>
      </c>
      <c r="AL131" s="55" t="str">
        <f>IF(AC131="C1","C2",IF(AC131="C2","C3",IF(AC131="C3","C4",IF(AC131="C4","C1",""))))</f>
        <v>C4</v>
      </c>
      <c r="AM131" s="53" t="str">
        <f>IF(AM132&lt;&gt;"","Lun","")</f>
        <v>Lun</v>
      </c>
      <c r="AN131" s="53" t="str">
        <f>IF(AN132&lt;&gt;"","Mar","")</f>
        <v>Mar</v>
      </c>
      <c r="AO131" s="53" t="str">
        <f>IF(AO132&lt;&gt;"","Mer","")</f>
        <v>Mer</v>
      </c>
      <c r="AP131" s="53" t="str">
        <f>IF(AP132&lt;&gt;"","Jeu","")</f>
        <v/>
      </c>
      <c r="AQ131" s="53" t="str">
        <f>IF(AQ132&lt;&gt;"","Ven","")</f>
        <v/>
      </c>
      <c r="AR131" s="53" t="str">
        <f>IF(AR132&lt;&gt;"","Sam","")</f>
        <v/>
      </c>
      <c r="AS131" s="53" t="str">
        <f>IF(AS132&lt;&gt;"","Dim","")</f>
        <v/>
      </c>
      <c r="AT131" s="73" t="s">
        <v>32</v>
      </c>
      <c r="AU131" s="55" t="str">
        <f>IF(AV131&lt;&gt;"",IF(AL131="C1","C2",IF(AL131="C2","C3",IF(AL131="C3","C4",IF(AL131="C4","C1","")))),"")</f>
        <v/>
      </c>
      <c r="AV131" s="53" t="str">
        <f>IF(AV132&lt;&gt;"","Lun","")</f>
        <v/>
      </c>
      <c r="AW131" s="53" t="str">
        <f>IF(AW132&lt;&gt;"","Mar","")</f>
        <v/>
      </c>
      <c r="AX131" s="73" t="s">
        <v>32</v>
      </c>
      <c r="AY131" s="73" t="s">
        <v>35</v>
      </c>
      <c r="AZ131" s="74">
        <f>AY138+AY139+AY140</f>
        <v>10</v>
      </c>
      <c r="BA131" s="74">
        <f>AZ131+BA113</f>
        <v>70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54"/>
      <c r="C132" s="54">
        <f>IF(DAY(Aoû_Dim1)=1,"",IF(AND(YEAR(Aoû_Dim1+1)=Année_Calendaire,MONTH(Aoû_Dim1+1)=8),Aoû_Dim1+1,""))</f>
        <v>42583</v>
      </c>
      <c r="D132" s="54">
        <f>IF(DAY(Aoû_Dim1)=1,"",IF(AND(YEAR(Aoû_Dim1+2)=Année_Calendaire,MONTH(Aoû_Dim1+2)=8),Aoû_Dim1+2,""))</f>
        <v>42584</v>
      </c>
      <c r="E132" s="54">
        <f>IF(DAY(Aoû_Dim1)=1,"",IF(AND(YEAR(Aoû_Dim1+3)=Année_Calendaire,MONTH(Aoû_Dim1+3)=8),Aoû_Dim1+3,""))</f>
        <v>42585</v>
      </c>
      <c r="F132" s="54">
        <f>IF(DAY(Aoû_Dim1)=1,"",IF(AND(YEAR(Aoû_Dim1+4)=Année_Calendaire,MONTH(Aoû_Dim1+4)=8),Aoû_Dim1+4,""))</f>
        <v>42586</v>
      </c>
      <c r="G132" s="54">
        <f>IF(DAY(Aoû_Dim1)=1,"",IF(AND(YEAR(Aoû_Dim1+5)=Année_Calendaire,MONTH(Aoû_Dim1+5)=8),Aoû_Dim1+5,""))</f>
        <v>42587</v>
      </c>
      <c r="H132" s="54">
        <f>IF(DAY(Aoû_Dim1)=1,"",IF(AND(YEAR(Aoû_Dim1+6)=Année_Calendaire,MONTH(Aoû_Dim1+6)=8),Aoû_Dim1+6,""))</f>
        <v>42588</v>
      </c>
      <c r="I132" s="54">
        <f>IF(DAY(Aoû_Dim1)=1,IF(AND(YEAR(Aoû_Dim1)=Année_Calendaire,MONTH(Aoû_Dim1)=8),Aoû_Dim1,""),IF(AND(YEAR(Aoû_Dim1+7)=Année_Calendaire,MONTH(Aoû_Dim1+7)=8),Aoû_Dim1+7,""))</f>
        <v>42589</v>
      </c>
      <c r="J132" s="73"/>
      <c r="K132" s="54"/>
      <c r="L132" s="54">
        <f>IF(DAY(Aoû_Dim1)=1,IF(AND(YEAR(Aoû_Dim1+1)=Année_Calendaire,MONTH(Aoû_Dim1+1)=8),Aoû_Dim1+1,""),IF(AND(YEAR(Aoû_Dim1+8)=Année_Calendaire,MONTH(Aoû_Dim1+8)=8),Aoû_Dim1+8,""))</f>
        <v>42590</v>
      </c>
      <c r="M132" s="54">
        <f>IF(DAY(Aoû_Dim1)=1,IF(AND(YEAR(Aoû_Dim1+2)=Année_Calendaire,MONTH(Aoû_Dim1+2)=8),Aoû_Dim1+2,""),IF(AND(YEAR(Aoû_Dim1+9)=Année_Calendaire,MONTH(Aoû_Dim1+9)=8),Aoû_Dim1+9,""))</f>
        <v>42591</v>
      </c>
      <c r="N132" s="54">
        <f>IF(DAY(Aoû_Dim1)=1,IF(AND(YEAR(Aoû_Dim1+3)=Année_Calendaire,MONTH(Aoû_Dim1+3)=8),Aoû_Dim1+3,""),IF(AND(YEAR(Aoû_Dim1+10)=Année_Calendaire,MONTH(Aoû_Dim1+10)=8),Aoû_Dim1+10,""))</f>
        <v>42592</v>
      </c>
      <c r="O132" s="54">
        <f>IF(DAY(Aoû_Dim1)=1,IF(AND(YEAR(Aoû_Dim1+4)=Année_Calendaire,MONTH(Aoû_Dim1+4)=8),Aoû_Dim1+4,""),IF(AND(YEAR(Aoû_Dim1+11)=Année_Calendaire,MONTH(Aoû_Dim1+11)=8),Aoû_Dim1+11,""))</f>
        <v>42593</v>
      </c>
      <c r="P132" s="54">
        <f>IF(DAY(Aoû_Dim1)=1,IF(AND(YEAR(Aoû_Dim1+5)=Année_Calendaire,MONTH(Aoû_Dim1+5)=8),Aoû_Dim1+5,""),IF(AND(YEAR(Aoû_Dim1+12)=Année_Calendaire,MONTH(Aoû_Dim1+12)=8),Aoû_Dim1+12,""))</f>
        <v>42594</v>
      </c>
      <c r="Q132" s="54">
        <f>IF(DAY(Aoû_Dim1)=1,IF(AND(YEAR(Aoû_Dim1+6)=Année_Calendaire,MONTH(Aoû_Dim1+6)=8),Aoû_Dim1+6,""),IF(AND(YEAR(Aoû_Dim1+13)=Année_Calendaire,MONTH(Aoû_Dim1+13)=8),Aoû_Dim1+13,""))</f>
        <v>42595</v>
      </c>
      <c r="R132" s="54">
        <f>IF(DAY(Aoû_Dim1)=1,IF(AND(YEAR(Aoû_Dim1+7)=Année_Calendaire,MONTH(Aoû_Dim1+7)=8),Aoû_Dim1+7,""),IF(AND(YEAR(Aoû_Dim1+14)=Année_Calendaire,MONTH(Aoû_Dim1+14)=8),Aoû_Dim1+14,""))</f>
        <v>42596</v>
      </c>
      <c r="S132" s="73"/>
      <c r="T132" s="54"/>
      <c r="U132" s="54">
        <f>IF(DAY(Aoû_Dim1)=1,IF(AND(YEAR(Aoû_Dim1+8)=Année_Calendaire,MONTH(Aoû_Dim1+8)=8),Aoû_Dim1+8,""),IF(AND(YEAR(Aoû_Dim1+15)=Année_Calendaire,MONTH(Aoû_Dim1+15)=8),Aoû_Dim1+15,""))</f>
        <v>42597</v>
      </c>
      <c r="V132" s="54">
        <f>IF(DAY(Aoû_Dim1)=1,IF(AND(YEAR(Aoû_Dim1+9)=Année_Calendaire,MONTH(Aoû_Dim1+9)=8),Aoû_Dim1+9,""),IF(AND(YEAR(Aoû_Dim1+16)=Année_Calendaire,MONTH(Aoû_Dim1+16)=8),Aoû_Dim1+16,""))</f>
        <v>42598</v>
      </c>
      <c r="W132" s="54">
        <f>IF(DAY(Aoû_Dim1)=1,IF(AND(YEAR(Aoû_Dim1+10)=Année_Calendaire,MONTH(Aoû_Dim1+10)=8),Aoû_Dim1+10,""),IF(AND(YEAR(Aoû_Dim1+17)=Année_Calendaire,MONTH(Aoû_Dim1+17)=8),Aoû_Dim1+17,""))</f>
        <v>42599</v>
      </c>
      <c r="X132" s="54">
        <f>IF(DAY(Aoû_Dim1)=1,IF(AND(YEAR(Aoû_Dim1+11)=Année_Calendaire,MONTH(Aoû_Dim1+11)=8),Aoû_Dim1+11,""),IF(AND(YEAR(Aoû_Dim1+18)=Année_Calendaire,MONTH(Aoû_Dim1+18)=8),Aoû_Dim1+18,""))</f>
        <v>42600</v>
      </c>
      <c r="Y132" s="54">
        <f>IF(DAY(Aoû_Dim1)=1,IF(AND(YEAR(Aoû_Dim1+12)=Année_Calendaire,MONTH(Aoû_Dim1+12)=8),Aoû_Dim1+12,""),IF(AND(YEAR(Aoû_Dim1+19)=Année_Calendaire,MONTH(Aoû_Dim1+19)=8),Aoû_Dim1+19,""))</f>
        <v>42601</v>
      </c>
      <c r="Z132" s="54">
        <f>IF(DAY(Aoû_Dim1)=1,IF(AND(YEAR(Aoû_Dim1+13)=Année_Calendaire,MONTH(Aoû_Dim1+13)=8),Aoû_Dim1+13,""),IF(AND(YEAR(Aoû_Dim1+20)=Année_Calendaire,MONTH(Aoû_Dim1+20)=8),Aoû_Dim1+20,""))</f>
        <v>42602</v>
      </c>
      <c r="AA132" s="54">
        <f>IF(DAY(Aoû_Dim1)=1,IF(AND(YEAR(Aoû_Dim1+14)=Année_Calendaire,MONTH(Aoû_Dim1+14)=8),Aoû_Dim1+14,""),IF(AND(YEAR(Aoû_Dim1+21)=Année_Calendaire,MONTH(Aoû_Dim1+21)=8),Aoû_Dim1+21,""))</f>
        <v>42603</v>
      </c>
      <c r="AB132" s="73"/>
      <c r="AC132" s="54"/>
      <c r="AD132" s="54">
        <f>IF(DAY(Aoû_Dim1)=1,IF(AND(YEAR(Aoû_Dim1+15)=Année_Calendaire,MONTH(Aoû_Dim1+15)=8),Aoû_Dim1+15,""),IF(AND(YEAR(Aoû_Dim1+22)=Année_Calendaire,MONTH(Aoû_Dim1+22)=8),Aoû_Dim1+22,""))</f>
        <v>42604</v>
      </c>
      <c r="AE132" s="54">
        <f>IF(DAY(Aoû_Dim1)=1,IF(AND(YEAR(Aoû_Dim1+16)=Année_Calendaire,MONTH(Aoû_Dim1+16)=8),Aoû_Dim1+16,""),IF(AND(YEAR(Aoû_Dim1+23)=Année_Calendaire,MONTH(Aoû_Dim1+23)=8),Aoû_Dim1+23,""))</f>
        <v>42605</v>
      </c>
      <c r="AF132" s="54">
        <f>IF(DAY(Aoû_Dim1)=1,IF(AND(YEAR(Aoû_Dim1+17)=Année_Calendaire,MONTH(Aoû_Dim1+17)=8),Aoû_Dim1+17,""),IF(AND(YEAR(Aoû_Dim1+24)=Année_Calendaire,MONTH(Aoû_Dim1+24)=8),Aoû_Dim1+24,""))</f>
        <v>42606</v>
      </c>
      <c r="AG132" s="54">
        <f>IF(DAY(Aoû_Dim1)=1,IF(AND(YEAR(Aoû_Dim1+18)=Année_Calendaire,MONTH(Aoû_Dim1+18)=8),Aoû_Dim1+18,""),IF(AND(YEAR(Aoû_Dim1+25)=Année_Calendaire,MONTH(Aoû_Dim1+25)=8),Aoû_Dim1+25,""))</f>
        <v>42607</v>
      </c>
      <c r="AH132" s="54">
        <f>IF(DAY(Aoû_Dim1)=1,IF(AND(YEAR(Aoû_Dim1+19)=Année_Calendaire,MONTH(Aoû_Dim1+19)=8),Aoû_Dim1+19,""),IF(AND(YEAR(Aoû_Dim1+26)=Année_Calendaire,MONTH(Aoû_Dim1+26)=8),Aoû_Dim1+26,""))</f>
        <v>42608</v>
      </c>
      <c r="AI132" s="54">
        <f>IF(DAY(Aoû_Dim1)=1,IF(AND(YEAR(Aoû_Dim1+20)=Année_Calendaire,MONTH(Aoû_Dim1+20)=8),Aoû_Dim1+20,""),IF(AND(YEAR(Aoû_Dim1+27)=Année_Calendaire,MONTH(Aoû_Dim1+27)=8),Aoû_Dim1+27,""))</f>
        <v>42609</v>
      </c>
      <c r="AJ132" s="54">
        <f>IF(DAY(Aoû_Dim1)=1,IF(AND(YEAR(Aoû_Dim1+21)=Année_Calendaire,MONTH(Aoû_Dim1+21)=8),Aoû_Dim1+21,""),IF(AND(YEAR(Aoû_Dim1+28)=Année_Calendaire,MONTH(Aoû_Dim1+28)=8),Aoû_Dim1+28,""))</f>
        <v>42610</v>
      </c>
      <c r="AK132" s="73"/>
      <c r="AL132" s="54"/>
      <c r="AM132" s="54">
        <f>IF(DAY(Aoû_Dim1)=1,IF(AND(YEAR(Aoû_Dim1+22)=Année_Calendaire,MONTH(Aoû_Dim1+22)=8),Aoû_Dim1+22,""),IF(AND(YEAR(Aoû_Dim1+29)=Année_Calendaire,MONTH(Aoû_Dim1+29)=8),Aoû_Dim1+29,""))</f>
        <v>42611</v>
      </c>
      <c r="AN132" s="54">
        <f>IF(DAY(Aoû_Dim1)=1,IF(AND(YEAR(Aoû_Dim1+23)=Année_Calendaire,MONTH(Aoû_Dim1+23)=8),Aoû_Dim1+23,""),IF(AND(YEAR(Aoû_Dim1+30)=Année_Calendaire,MONTH(Aoû_Dim1+30)=8),Aoû_Dim1+30,""))</f>
        <v>42612</v>
      </c>
      <c r="AO132" s="54">
        <f>IF(DAY(Aoû_Dim1)=1,IF(AND(YEAR(Aoû_Dim1+24)=Année_Calendaire,MONTH(Aoû_Dim1+24)=8),Aoû_Dim1+24,""),IF(AND(YEAR(Aoû_Dim1+31)=Année_Calendaire,MONTH(Aoû_Dim1+31)=8),Aoû_Dim1+31,""))</f>
        <v>42613</v>
      </c>
      <c r="AP132" s="54" t="str">
        <f>IF(DAY(Aoû_Dim1)=1,IF(AND(YEAR(Aoû_Dim1+25)=Année_Calendaire,MONTH(Aoû_Dim1+25)=8),Aoû_Dim1+25,""),IF(AND(YEAR(Aoû_Dim1+32)=Année_Calendaire,MONTH(Aoû_Dim1+32)=8),Aoû_Dim1+32,""))</f>
        <v/>
      </c>
      <c r="AQ132" s="54" t="str">
        <f>IF(DAY(Aoû_Dim1)=1,IF(AND(YEAR(Aoû_Dim1+26)=Année_Calendaire,MONTH(Aoû_Dim1+26)=8),Aoû_Dim1+26,""),IF(AND(YEAR(Aoû_Dim1+33)=Année_Calendaire,MONTH(Aoû_Dim1+33)=8),Aoû_Dim1+33,""))</f>
        <v/>
      </c>
      <c r="AR132" s="54" t="str">
        <f>IF(DAY(Aoû_Dim1)=1,IF(AND(YEAR(Aoû_Dim1+27)=Année_Calendaire,MONTH(Aoû_Dim1+27)=8),Aoû_Dim1+27,""),IF(AND(YEAR(Aoû_Dim1+34)=Année_Calendaire,MONTH(Aoû_Dim1+34)=8),Aoû_Dim1+34,""))</f>
        <v/>
      </c>
      <c r="AS132" s="54" t="str">
        <f>IF(DAY(Aoû_Dim1)=1,IF(AND(YEAR(Aoû_Dim1+28)=Année_Calendaire,MONTH(Aoû_Dim1+28)=8),Aoû_Dim1+28,""),IF(AND(YEAR(Aoû_Dim1+35)=Année_Calendaire,MONTH(Aoû_Dim1+35)=8),Aoû_Dim1+35,""))</f>
        <v/>
      </c>
      <c r="AT132" s="73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73"/>
      <c r="AY132" s="73"/>
      <c r="AZ132" s="74"/>
      <c r="BA132" s="74"/>
      <c r="BB132" s="32"/>
      <c r="BC132" s="32"/>
      <c r="BD132" s="32"/>
      <c r="BE132" s="32"/>
      <c r="BF132" s="24"/>
    </row>
    <row r="133" spans="1:59" s="5" customFormat="1" ht="15" customHeight="1" x14ac:dyDescent="0.25">
      <c r="A133" s="48" t="s">
        <v>2</v>
      </c>
      <c r="B133" s="48"/>
      <c r="C133" s="49" t="str">
        <f>IF(C132="","",IFERROR(VLOOKUP(B131,DATA!$A:$H,2,TRUE),0))</f>
        <v>am</v>
      </c>
      <c r="D133" s="49" t="str">
        <f>IF(D132="","",IFERROR(VLOOKUP(B131,DATA!$A:$H,3,TRUE),0))</f>
        <v>am</v>
      </c>
      <c r="E133" s="49" t="str">
        <f>IF(E132="","",IFERROR(VLOOKUP(B131,DATA!$A:$H,4,TRUE),0))</f>
        <v>am</v>
      </c>
      <c r="F133" s="49" t="str">
        <f>IF(F132="","",IFERROR(VLOOKUP(B131,DATA!$A:$H,5,TRUE),0))</f>
        <v>am</v>
      </c>
      <c r="G133" s="49" t="str">
        <f>IF(G132="","",IFERROR(VLOOKUP(B131,DATA!$A:$H,6,TRUE),0))</f>
        <v>am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matin</v>
      </c>
      <c r="M133" s="49" t="str">
        <f>IF(M132="","",IFERROR(VLOOKUP(K131,DATA!$A:$H,3,TRUE),0))</f>
        <v>matin</v>
      </c>
      <c r="N133" s="49" t="str">
        <f>IF(N132="","",IFERROR(VLOOKUP(K131,DATA!$A:$H,4,TRUE),0))</f>
        <v>matin</v>
      </c>
      <c r="O133" s="49">
        <f>IF(O132="","",IFERROR(VLOOKUP(K131,DATA!$A:$H,5,TRUE),0))</f>
        <v>0</v>
      </c>
      <c r="P133" s="49">
        <f>IF(P132="","",IFERROR(VLOOKUP(K131,DATA!$A:$H,6,TRUE),0))</f>
        <v>0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nuit</v>
      </c>
      <c r="V133" s="49" t="str">
        <f>IF(V132="","",IFERROR(VLOOKUP(T131,DATA!$A:$H,3,TRUE),0))</f>
        <v>nuit</v>
      </c>
      <c r="W133" s="49" t="str">
        <f>IF(W132="","",IFERROR(VLOOKUP(T131,DATA!$A:$H,4,TRUE),0))</f>
        <v>nuit</v>
      </c>
      <c r="X133" s="49" t="str">
        <f>IF(X132="","",IFERROR(VLOOKUP(T131,DATA!$A:$H,5,TRUE),0))</f>
        <v>nuit</v>
      </c>
      <c r="Y133" s="49" t="str">
        <f>IF(Y132="","",IFERROR(VLOOKUP(T131,DATA!$A:$H,6,TRUE),0))</f>
        <v>nuit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matin</v>
      </c>
      <c r="AE133" s="49">
        <f>IF(AE132="","",IFERROR(VLOOKUP(AC131,DATA!$A:$H,3,TRUE),0))</f>
        <v>0</v>
      </c>
      <c r="AF133" s="49">
        <f>IF(AF132="","",IFERROR(VLOOKUP(AC131,DATA!$A:$H,4,TRUE),0))</f>
        <v>0</v>
      </c>
      <c r="AG133" s="49" t="str">
        <f>IF(AG132="","",IFERROR(VLOOKUP(AC131,DATA!$A:$H,5,TRUE),0))</f>
        <v>matin</v>
      </c>
      <c r="AH133" s="49" t="str">
        <f>IF(AH132="","",IFERROR(VLOOKUP(AC131,DATA!$A:$H,6,TRUE),0))</f>
        <v>matin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am</v>
      </c>
      <c r="AN133" s="49" t="str">
        <f>IF(AN132="","",IFERROR(VLOOKUP(AL131,DATA!$A:$H,3,TRUE),0))</f>
        <v>am</v>
      </c>
      <c r="AO133" s="49" t="str">
        <f>IF(AO132="","",IFERROR(VLOOKUP(AL131,DATA!$A:$H,4,TRUE),0))</f>
        <v>am</v>
      </c>
      <c r="AP133" s="49" t="str">
        <f>IF(AP132="","",IFERROR(VLOOKUP(AL131,DATA!$A:$H,5,TRUE),0))</f>
        <v/>
      </c>
      <c r="AQ133" s="49" t="str">
        <f>IF(AQ132="","",IFERROR(VLOOKUP(AL131,DATA!$A:$H,6,TRUE),0))</f>
        <v/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51" t="s">
        <v>12</v>
      </c>
      <c r="B134" s="51"/>
      <c r="C134" s="52">
        <f t="shared" ref="C134:I134" si="304">IF(C133="Matin",1,IF(C133="AM",1,0))</f>
        <v>1</v>
      </c>
      <c r="D134" s="52">
        <f t="shared" si="304"/>
        <v>1</v>
      </c>
      <c r="E134" s="52">
        <f t="shared" si="304"/>
        <v>1</v>
      </c>
      <c r="F134" s="52">
        <f t="shared" si="304"/>
        <v>1</v>
      </c>
      <c r="G134" s="52">
        <f t="shared" si="304"/>
        <v>1</v>
      </c>
      <c r="H134" s="52">
        <f t="shared" si="304"/>
        <v>0</v>
      </c>
      <c r="I134" s="52">
        <f t="shared" si="304"/>
        <v>0</v>
      </c>
      <c r="J134" s="52">
        <f>SUM(C134:I134)</f>
        <v>5</v>
      </c>
      <c r="K134" s="51"/>
      <c r="L134" s="52">
        <f t="shared" ref="L134:R134" si="305">IF(L133="Matin",1,IF(L133="AM",1,0))</f>
        <v>1</v>
      </c>
      <c r="M134" s="52">
        <f t="shared" si="305"/>
        <v>1</v>
      </c>
      <c r="N134" s="52">
        <f t="shared" si="305"/>
        <v>1</v>
      </c>
      <c r="O134" s="52">
        <f t="shared" si="305"/>
        <v>0</v>
      </c>
      <c r="P134" s="52">
        <f t="shared" si="305"/>
        <v>0</v>
      </c>
      <c r="Q134" s="52">
        <f t="shared" si="305"/>
        <v>0</v>
      </c>
      <c r="R134" s="52">
        <f t="shared" si="305"/>
        <v>0</v>
      </c>
      <c r="S134" s="52">
        <f>SUM(L134:R134)</f>
        <v>3</v>
      </c>
      <c r="T134" s="51"/>
      <c r="U134" s="52">
        <f t="shared" ref="U134:AA134" si="306">IF(U133="Matin",1,IF(U133="AM",1,0))</f>
        <v>0</v>
      </c>
      <c r="V134" s="52">
        <f t="shared" si="306"/>
        <v>0</v>
      </c>
      <c r="W134" s="52">
        <f t="shared" si="306"/>
        <v>0</v>
      </c>
      <c r="X134" s="52">
        <f t="shared" si="306"/>
        <v>0</v>
      </c>
      <c r="Y134" s="52">
        <f t="shared" si="306"/>
        <v>0</v>
      </c>
      <c r="Z134" s="52">
        <f t="shared" si="306"/>
        <v>0</v>
      </c>
      <c r="AA134" s="52">
        <f t="shared" si="306"/>
        <v>0</v>
      </c>
      <c r="AB134" s="52">
        <f>SUM(U134:AA134)</f>
        <v>0</v>
      </c>
      <c r="AC134" s="51"/>
      <c r="AD134" s="52">
        <f t="shared" ref="AD134:AJ134" si="307">IF(AD133="Matin",1,IF(AD133="AM",1,0))</f>
        <v>1</v>
      </c>
      <c r="AE134" s="52">
        <f t="shared" si="307"/>
        <v>0</v>
      </c>
      <c r="AF134" s="52">
        <f t="shared" si="307"/>
        <v>0</v>
      </c>
      <c r="AG134" s="52">
        <f t="shared" si="307"/>
        <v>1</v>
      </c>
      <c r="AH134" s="52">
        <f t="shared" si="307"/>
        <v>1</v>
      </c>
      <c r="AI134" s="52">
        <f t="shared" si="307"/>
        <v>0</v>
      </c>
      <c r="AJ134" s="52">
        <f t="shared" si="307"/>
        <v>0</v>
      </c>
      <c r="AK134" s="52">
        <f>SUM(AD134:AJ134)</f>
        <v>3</v>
      </c>
      <c r="AL134" s="51"/>
      <c r="AM134" s="52">
        <f t="shared" ref="AM134:AS134" si="308">IF(AM133="Matin",1,IF(AM133="AM",1,0))</f>
        <v>1</v>
      </c>
      <c r="AN134" s="52">
        <f t="shared" si="308"/>
        <v>1</v>
      </c>
      <c r="AO134" s="52">
        <f t="shared" si="308"/>
        <v>1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3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14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48" t="s">
        <v>4</v>
      </c>
      <c r="B135" s="48"/>
      <c r="C135" s="49">
        <f>IF(C136&gt;=1,1,0)</f>
        <v>1</v>
      </c>
      <c r="D135" s="49">
        <f>IF(D136&gt;=1,1,0)</f>
        <v>1</v>
      </c>
      <c r="E135" s="49">
        <f t="shared" ref="E135:I135" si="311">IF(E136&gt;=1,1,0)</f>
        <v>1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5</v>
      </c>
      <c r="K135" s="48"/>
      <c r="L135" s="49">
        <f>IF(L136&gt;=1,1,0)</f>
        <v>1</v>
      </c>
      <c r="M135" s="49">
        <f t="shared" ref="M135:R135" si="313">IF(M136&gt;=1,1,0)</f>
        <v>1</v>
      </c>
      <c r="N135" s="49">
        <f t="shared" si="313"/>
        <v>1</v>
      </c>
      <c r="O135" s="49">
        <f t="shared" si="313"/>
        <v>0</v>
      </c>
      <c r="P135" s="49">
        <f t="shared" si="313"/>
        <v>0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3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5</v>
      </c>
      <c r="AC135" s="48"/>
      <c r="AD135" s="49">
        <f>IF(AD136&gt;=1,1,0)</f>
        <v>1</v>
      </c>
      <c r="AE135" s="49">
        <f t="shared" ref="AE135:AJ135" si="317">IF(AE136&gt;=1,1,0)</f>
        <v>0</v>
      </c>
      <c r="AF135" s="49">
        <f t="shared" si="317"/>
        <v>0</v>
      </c>
      <c r="AG135" s="49">
        <f t="shared" si="317"/>
        <v>1</v>
      </c>
      <c r="AH135" s="49">
        <f t="shared" si="317"/>
        <v>1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3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0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3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51" t="s">
        <v>3</v>
      </c>
      <c r="B136" s="51"/>
      <c r="C136" s="52">
        <f>IF(C133="Matin",8,IF(C133="AM",8,IF(C133="nuit",8,0)))</f>
        <v>8</v>
      </c>
      <c r="D136" s="52">
        <f t="shared" ref="D136:I136" si="323">IF(D133="Matin",8,IF(D133="AM",8,IF(D133="nuit",8,0)))</f>
        <v>8</v>
      </c>
      <c r="E136" s="52">
        <f t="shared" si="323"/>
        <v>8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40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8</v>
      </c>
      <c r="N136" s="52">
        <f t="shared" si="324"/>
        <v>8</v>
      </c>
      <c r="O136" s="52">
        <f t="shared" si="324"/>
        <v>0</v>
      </c>
      <c r="P136" s="52">
        <f t="shared" si="324"/>
        <v>0</v>
      </c>
      <c r="Q136" s="52">
        <f t="shared" si="324"/>
        <v>0</v>
      </c>
      <c r="R136" s="52">
        <f t="shared" si="324"/>
        <v>0</v>
      </c>
      <c r="S136" s="52">
        <f t="shared" si="314"/>
        <v>24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40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0</v>
      </c>
      <c r="AF136" s="52">
        <f t="shared" si="326"/>
        <v>0</v>
      </c>
      <c r="AG136" s="52">
        <f t="shared" si="326"/>
        <v>8</v>
      </c>
      <c r="AH136" s="52">
        <f t="shared" si="326"/>
        <v>8</v>
      </c>
      <c r="AI136" s="52">
        <f t="shared" si="326"/>
        <v>0</v>
      </c>
      <c r="AJ136" s="52">
        <f t="shared" si="326"/>
        <v>0</v>
      </c>
      <c r="AK136" s="52">
        <f t="shared" si="318"/>
        <v>24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0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24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48" t="s">
        <v>20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3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3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5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5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48" t="s">
        <v>44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</v>
      </c>
      <c r="F145" s="49">
        <f t="shared" si="335"/>
        <v>0</v>
      </c>
      <c r="G145" s="49">
        <f>IF(G133="nuit",G136*0.02,0)</f>
        <v>0</v>
      </c>
      <c r="H145" s="49">
        <f t="shared" si="335"/>
        <v>0</v>
      </c>
      <c r="I145" s="49">
        <f t="shared" si="335"/>
        <v>0</v>
      </c>
      <c r="J145" s="52">
        <f t="shared" si="312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0.16</v>
      </c>
      <c r="V145" s="49">
        <f>IF(V133="nuit",V136*0.02,0)</f>
        <v>0.16</v>
      </c>
      <c r="W145" s="49">
        <f t="shared" ref="W145:AA145" si="337">IF(W133="nuit",W136*0.02,0)</f>
        <v>0.16</v>
      </c>
      <c r="X145" s="49">
        <f t="shared" si="337"/>
        <v>0.16</v>
      </c>
      <c r="Y145" s="49">
        <f>IF(Y133="nuit",Y136*0.02,0)</f>
        <v>0.16</v>
      </c>
      <c r="Z145" s="49">
        <f t="shared" si="337"/>
        <v>0</v>
      </c>
      <c r="AA145" s="49">
        <f t="shared" si="337"/>
        <v>0</v>
      </c>
      <c r="AB145" s="52">
        <f t="shared" si="316"/>
        <v>0.8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9">IF(AO133="nuit",AO136*0.02,0)</f>
        <v>0</v>
      </c>
      <c r="AP145" s="49">
        <f t="shared" si="339"/>
        <v>0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51" t="s">
        <v>31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72">
        <f>Année_Calendaire</f>
        <v>2016</v>
      </c>
      <c r="I148" s="72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27</v>
      </c>
      <c r="V148" s="19"/>
      <c r="W148" s="19"/>
      <c r="X148" s="19"/>
      <c r="Y148" s="19"/>
      <c r="Z148" s="72">
        <f>Année_Calendaire</f>
        <v>2016</v>
      </c>
      <c r="AA148" s="72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27</v>
      </c>
      <c r="AN148" s="19"/>
      <c r="AO148" s="19"/>
      <c r="AP148" s="19"/>
      <c r="AQ148" s="19"/>
      <c r="AR148" s="72">
        <f>Année_Calendaire</f>
        <v>2016</v>
      </c>
      <c r="AS148" s="72"/>
      <c r="AT148" s="37"/>
      <c r="AU148" s="44"/>
      <c r="AV148" s="26"/>
      <c r="AW148" s="26"/>
      <c r="AX148" s="37"/>
    </row>
    <row r="149" spans="1:59" s="23" customFormat="1" ht="29.25" customHeight="1" x14ac:dyDescent="0.25">
      <c r="A149" s="36"/>
      <c r="B149" s="55" t="str">
        <f>IF(AU131&lt;&gt;"",AU131,IF(AL131="C1","C2",IF(AL131="C2","C3",IF(AL131="C3","C4",IF(AL131="C4","C1","")))))</f>
        <v>C1</v>
      </c>
      <c r="C149" s="53" t="s">
        <v>13</v>
      </c>
      <c r="D149" s="53" t="s">
        <v>14</v>
      </c>
      <c r="E149" s="53" t="s">
        <v>15</v>
      </c>
      <c r="F149" s="53" t="s">
        <v>16</v>
      </c>
      <c r="G149" s="53" t="s">
        <v>17</v>
      </c>
      <c r="H149" s="53" t="s">
        <v>18</v>
      </c>
      <c r="I149" s="53" t="s">
        <v>19</v>
      </c>
      <c r="J149" s="73" t="s">
        <v>32</v>
      </c>
      <c r="K149" s="55" t="str">
        <f>IF(B149="C1","C2",IF(B149="C2","C3",IF(B149="C3","C4",IF(B149="C4","C1",""))))</f>
        <v>C2</v>
      </c>
      <c r="L149" s="53" t="str">
        <f>IF(L150&lt;&gt;"","Lun","")</f>
        <v>Lun</v>
      </c>
      <c r="M149" s="53" t="str">
        <f>IF(M150&lt;&gt;"","Mar","")</f>
        <v>Mar</v>
      </c>
      <c r="N149" s="53" t="str">
        <f>IF(N150&lt;&gt;"","Mer","")</f>
        <v>Mer</v>
      </c>
      <c r="O149" s="53" t="str">
        <f>IF(O150&lt;&gt;"","Jeu","")</f>
        <v>Jeu</v>
      </c>
      <c r="P149" s="53" t="str">
        <f>IF(P150&lt;&gt;"","Ven","")</f>
        <v>Ven</v>
      </c>
      <c r="Q149" s="53" t="str">
        <f>IF(Q150&lt;&gt;"","Sam","")</f>
        <v>Sam</v>
      </c>
      <c r="R149" s="53" t="str">
        <f>IF(R150&lt;&gt;"","Dim","")</f>
        <v>Dim</v>
      </c>
      <c r="S149" s="73" t="s">
        <v>32</v>
      </c>
      <c r="T149" s="55" t="str">
        <f>IF(K149="C1","C2",IF(K149="C2","C3",IF(K149="C3","C4",IF(K149="C4","C1",""))))</f>
        <v>C3</v>
      </c>
      <c r="U149" s="53" t="str">
        <f>IF(U150&lt;&gt;"","Lun","")</f>
        <v>Lun</v>
      </c>
      <c r="V149" s="53" t="str">
        <f>IF(V150&lt;&gt;"","Mar","")</f>
        <v>Mar</v>
      </c>
      <c r="W149" s="53" t="str">
        <f>IF(W150&lt;&gt;"","Mer","")</f>
        <v>Mer</v>
      </c>
      <c r="X149" s="53" t="str">
        <f>IF(X150&lt;&gt;"","Jeu","")</f>
        <v>Jeu</v>
      </c>
      <c r="Y149" s="53" t="str">
        <f>IF(Y150&lt;&gt;"","Ven","")</f>
        <v>Ven</v>
      </c>
      <c r="Z149" s="53" t="str">
        <f>IF(Z150&lt;&gt;"","Sam","")</f>
        <v>Sam</v>
      </c>
      <c r="AA149" s="53" t="str">
        <f>IF(AA150&lt;&gt;"","Dim","")</f>
        <v>Dim</v>
      </c>
      <c r="AB149" s="73" t="s">
        <v>32</v>
      </c>
      <c r="AC149" s="55" t="str">
        <f>IF(T149="C1","C2",IF(T149="C2","C3",IF(T149="C3","C4",IF(T149="C4","C1",""))))</f>
        <v>C4</v>
      </c>
      <c r="AD149" s="53" t="str">
        <f>IF(AD150&lt;&gt;"","Lun","")</f>
        <v>Lun</v>
      </c>
      <c r="AE149" s="53" t="str">
        <f>IF(AE150&lt;&gt;"","Mar","")</f>
        <v>Mar</v>
      </c>
      <c r="AF149" s="53" t="str">
        <f>IF(AF150&lt;&gt;"","Mer","")</f>
        <v>Mer</v>
      </c>
      <c r="AG149" s="53" t="str">
        <f>IF(AG150&lt;&gt;"","Jeu","")</f>
        <v>Jeu</v>
      </c>
      <c r="AH149" s="53" t="str">
        <f>IF(AH150&lt;&gt;"","Ven","")</f>
        <v>Ven</v>
      </c>
      <c r="AI149" s="53" t="str">
        <f>IF(AI150&lt;&gt;"","Sam","")</f>
        <v>Sam</v>
      </c>
      <c r="AJ149" s="53" t="str">
        <f>IF(AJ150&lt;&gt;"","Dim","")</f>
        <v>Dim</v>
      </c>
      <c r="AK149" s="73" t="s">
        <v>32</v>
      </c>
      <c r="AL149" s="55" t="str">
        <f>IF(AC149="C1","C2",IF(AC149="C2","C3",IF(AC149="C3","C4",IF(AC149="C4","C1",""))))</f>
        <v>C1</v>
      </c>
      <c r="AM149" s="53" t="str">
        <f>IF(AM150&lt;&gt;"","Lun","")</f>
        <v>Lun</v>
      </c>
      <c r="AN149" s="53" t="str">
        <f>IF(AN150&lt;&gt;"","Mar","")</f>
        <v>Mar</v>
      </c>
      <c r="AO149" s="53" t="str">
        <f>IF(AO150&lt;&gt;"","Mer","")</f>
        <v>Mer</v>
      </c>
      <c r="AP149" s="53" t="str">
        <f>IF(AP150&lt;&gt;"","Jeu","")</f>
        <v>Jeu</v>
      </c>
      <c r="AQ149" s="53" t="str">
        <f>IF(AQ150&lt;&gt;"","Ven","")</f>
        <v>Ven</v>
      </c>
      <c r="AR149" s="53" t="str">
        <f>IF(AR150&lt;&gt;"","Sam","")</f>
        <v/>
      </c>
      <c r="AS149" s="53" t="str">
        <f>IF(AS150&lt;&gt;"","Dim","")</f>
        <v/>
      </c>
      <c r="AT149" s="73" t="s">
        <v>32</v>
      </c>
      <c r="AU149" s="55" t="str">
        <f>IF(AV149&lt;&gt;"",IF(AL149="C1","C2",IF(AL149="C2","C3",IF(AL149="C3","C4",IF(AL149="C4","C1","")))),"")</f>
        <v/>
      </c>
      <c r="AV149" s="53" t="str">
        <f>IF(AV150&lt;&gt;"","Lun","")</f>
        <v/>
      </c>
      <c r="AW149" s="53" t="str">
        <f>IF(AW150&lt;&gt;"","Mar","")</f>
        <v/>
      </c>
      <c r="AX149" s="73" t="s">
        <v>32</v>
      </c>
      <c r="AY149" s="73" t="s">
        <v>35</v>
      </c>
      <c r="AZ149" s="74">
        <f>AY156+AY157+AY158</f>
        <v>10</v>
      </c>
      <c r="BA149" s="74">
        <f>AZ149+BA131</f>
        <v>80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54"/>
      <c r="C150" s="54" t="str">
        <f>IF(DAY(Sep_Dim1)=1,"",IF(AND(YEAR(Sep_Dim1+1)=Année_Calendaire,MONTH(Sep_Dim1+1)=9),Sep_Dim1+1,""))</f>
        <v/>
      </c>
      <c r="D150" s="54" t="str">
        <f>IF(DAY(Sep_Dim1)=1,"",IF(AND(YEAR(Sep_Dim1+2)=Année_Calendaire,MONTH(Sep_Dim1+2)=9),Sep_Dim1+2,""))</f>
        <v/>
      </c>
      <c r="E150" s="54" t="str">
        <f>IF(DAY(Sep_Dim1)=1,"",IF(AND(YEAR(Sep_Dim1+3)=Année_Calendaire,MONTH(Sep_Dim1+3)=9),Sep_Dim1+3,""))</f>
        <v/>
      </c>
      <c r="F150" s="54">
        <f>IF(DAY(Sep_Dim1)=1,"",IF(AND(YEAR(Sep_Dim1+4)=Année_Calendaire,MONTH(Sep_Dim1+4)=9),Sep_Dim1+4,""))</f>
        <v>42614</v>
      </c>
      <c r="G150" s="54">
        <f>IF(DAY(Sep_Dim1)=1,"",IF(AND(YEAR(Sep_Dim1+5)=Année_Calendaire,MONTH(Sep_Dim1+5)=9),Sep_Dim1+5,""))</f>
        <v>42615</v>
      </c>
      <c r="H150" s="54">
        <f>IF(DAY(Sep_Dim1)=1,"",IF(AND(YEAR(Sep_Dim1+6)=Année_Calendaire,MONTH(Sep_Dim1+6)=9),Sep_Dim1+6,""))</f>
        <v>42616</v>
      </c>
      <c r="I150" s="54">
        <f>IF(DAY(Sep_Dim1)=1,IF(AND(YEAR(Sep_Dim1)=Année_Calendaire,MONTH(Sep_Dim1)=9),Sep_Dim1,""),IF(AND(YEAR(Sep_Dim1+7)=Année_Calendaire,MONTH(Sep_Dim1+7)=9),Sep_Dim1+7,""))</f>
        <v>42617</v>
      </c>
      <c r="J150" s="73"/>
      <c r="K150" s="54"/>
      <c r="L150" s="54">
        <f>IF(DAY(Sep_Dim1)=1,IF(AND(YEAR(Sep_Dim1+1)=Année_Calendaire,MONTH(Sep_Dim1+1)=9),Sep_Dim1+1,""),IF(AND(YEAR(Sep_Dim1+8)=Année_Calendaire,MONTH(Sep_Dim1+8)=9),Sep_Dim1+8,""))</f>
        <v>42618</v>
      </c>
      <c r="M150" s="54">
        <f>IF(DAY(Sep_Dim1)=1,IF(AND(YEAR(Sep_Dim1+2)=Année_Calendaire,MONTH(Sep_Dim1+2)=9),Sep_Dim1+2,""),IF(AND(YEAR(Sep_Dim1+9)=Année_Calendaire,MONTH(Sep_Dim1+9)=9),Sep_Dim1+9,""))</f>
        <v>42619</v>
      </c>
      <c r="N150" s="54">
        <f>IF(DAY(Sep_Dim1)=1,IF(AND(YEAR(Sep_Dim1+3)=Année_Calendaire,MONTH(Sep_Dim1+3)=9),Sep_Dim1+3,""),IF(AND(YEAR(Sep_Dim1+10)=Année_Calendaire,MONTH(Sep_Dim1+10)=9),Sep_Dim1+10,""))</f>
        <v>42620</v>
      </c>
      <c r="O150" s="54">
        <f>IF(DAY(Sep_Dim1)=1,IF(AND(YEAR(Sep_Dim1+4)=Année_Calendaire,MONTH(Sep_Dim1+4)=9),Sep_Dim1+4,""),IF(AND(YEAR(Sep_Dim1+11)=Année_Calendaire,MONTH(Sep_Dim1+11)=9),Sep_Dim1+11,""))</f>
        <v>42621</v>
      </c>
      <c r="P150" s="54">
        <f>IF(DAY(Sep_Dim1)=1,IF(AND(YEAR(Sep_Dim1+5)=Année_Calendaire,MONTH(Sep_Dim1+5)=9),Sep_Dim1+5,""),IF(AND(YEAR(Sep_Dim1+12)=Année_Calendaire,MONTH(Sep_Dim1+12)=9),Sep_Dim1+12,""))</f>
        <v>42622</v>
      </c>
      <c r="Q150" s="54">
        <f>IF(DAY(Sep_Dim1)=1,IF(AND(YEAR(Sep_Dim1+6)=Année_Calendaire,MONTH(Sep_Dim1+6)=9),Sep_Dim1+6,""),IF(AND(YEAR(Sep_Dim1+13)=Année_Calendaire,MONTH(Sep_Dim1+13)=9),Sep_Dim1+13,""))</f>
        <v>42623</v>
      </c>
      <c r="R150" s="54">
        <f>IF(DAY(Sep_Dim1)=1,IF(AND(YEAR(Sep_Dim1+7)=Année_Calendaire,MONTH(Sep_Dim1+7)=9),Sep_Dim1+7,""),IF(AND(YEAR(Sep_Dim1+14)=Année_Calendaire,MONTH(Sep_Dim1+14)=9),Sep_Dim1+14,""))</f>
        <v>42624</v>
      </c>
      <c r="S150" s="73"/>
      <c r="T150" s="54"/>
      <c r="U150" s="54">
        <f>IF(DAY(Sep_Dim1)=1,IF(AND(YEAR(Sep_Dim1+8)=Année_Calendaire,MONTH(Sep_Dim1+8)=9),Sep_Dim1+8,""),IF(AND(YEAR(Sep_Dim1+15)=Année_Calendaire,MONTH(Sep_Dim1+15)=9),Sep_Dim1+15,""))</f>
        <v>42625</v>
      </c>
      <c r="V150" s="54">
        <f>IF(DAY(Sep_Dim1)=1,IF(AND(YEAR(Sep_Dim1+9)=Année_Calendaire,MONTH(Sep_Dim1+9)=9),Sep_Dim1+9,""),IF(AND(YEAR(Sep_Dim1+16)=Année_Calendaire,MONTH(Sep_Dim1+16)=9),Sep_Dim1+16,""))</f>
        <v>42626</v>
      </c>
      <c r="W150" s="54">
        <f>IF(DAY(Sep_Dim1)=1,IF(AND(YEAR(Sep_Dim1+10)=Année_Calendaire,MONTH(Sep_Dim1+10)=9),Sep_Dim1+10,""),IF(AND(YEAR(Sep_Dim1+17)=Année_Calendaire,MONTH(Sep_Dim1+17)=9),Sep_Dim1+17,""))</f>
        <v>42627</v>
      </c>
      <c r="X150" s="54">
        <f>IF(DAY(Sep_Dim1)=1,IF(AND(YEAR(Sep_Dim1+11)=Année_Calendaire,MONTH(Sep_Dim1+11)=9),Sep_Dim1+11,""),IF(AND(YEAR(Sep_Dim1+18)=Année_Calendaire,MONTH(Sep_Dim1+18)=9),Sep_Dim1+18,""))</f>
        <v>42628</v>
      </c>
      <c r="Y150" s="54">
        <f>IF(DAY(Sep_Dim1)=1,IF(AND(YEAR(Sep_Dim1+12)=Année_Calendaire,MONTH(Sep_Dim1+12)=9),Sep_Dim1+12,""),IF(AND(YEAR(Sep_Dim1+19)=Année_Calendaire,MONTH(Sep_Dim1+19)=9),Sep_Dim1+19,""))</f>
        <v>42629</v>
      </c>
      <c r="Z150" s="54">
        <f>IF(DAY(Sep_Dim1)=1,IF(AND(YEAR(Sep_Dim1+13)=Année_Calendaire,MONTH(Sep_Dim1+13)=9),Sep_Dim1+13,""),IF(AND(YEAR(Sep_Dim1+20)=Année_Calendaire,MONTH(Sep_Dim1+20)=9),Sep_Dim1+20,""))</f>
        <v>42630</v>
      </c>
      <c r="AA150" s="54">
        <f>IF(DAY(Sep_Dim1)=1,IF(AND(YEAR(Sep_Dim1+14)=Année_Calendaire,MONTH(Sep_Dim1+14)=9),Sep_Dim1+14,""),IF(AND(YEAR(Sep_Dim1+21)=Année_Calendaire,MONTH(Sep_Dim1+21)=9),Sep_Dim1+21,""))</f>
        <v>42631</v>
      </c>
      <c r="AB150" s="73"/>
      <c r="AC150" s="54"/>
      <c r="AD150" s="54">
        <f>IF(DAY(Sep_Dim1)=1,IF(AND(YEAR(Sep_Dim1+15)=Année_Calendaire,MONTH(Sep_Dim1+15)=9),Sep_Dim1+15,""),IF(AND(YEAR(Sep_Dim1+22)=Année_Calendaire,MONTH(Sep_Dim1+22)=9),Sep_Dim1+22,""))</f>
        <v>42632</v>
      </c>
      <c r="AE150" s="54">
        <f>IF(DAY(Sep_Dim1)=1,IF(AND(YEAR(Sep_Dim1+16)=Année_Calendaire,MONTH(Sep_Dim1+16)=9),Sep_Dim1+16,""),IF(AND(YEAR(Sep_Dim1+23)=Année_Calendaire,MONTH(Sep_Dim1+23)=9),Sep_Dim1+23,""))</f>
        <v>42633</v>
      </c>
      <c r="AF150" s="54">
        <f>IF(DAY(Sep_Dim1)=1,IF(AND(YEAR(Sep_Dim1+17)=Année_Calendaire,MONTH(Sep_Dim1+17)=9),Sep_Dim1+17,""),IF(AND(YEAR(Sep_Dim1+24)=Année_Calendaire,MONTH(Sep_Dim1+24)=9),Sep_Dim1+24,""))</f>
        <v>42634</v>
      </c>
      <c r="AG150" s="54">
        <f>IF(DAY(Sep_Dim1)=1,IF(AND(YEAR(Sep_Dim1+18)=Année_Calendaire,MONTH(Sep_Dim1+18)=9),Sep_Dim1+18,""),IF(AND(YEAR(Sep_Dim1+25)=Année_Calendaire,MONTH(Sep_Dim1+25)=9),Sep_Dim1+25,""))</f>
        <v>42635</v>
      </c>
      <c r="AH150" s="54">
        <f>IF(DAY(Sep_Dim1)=1,IF(AND(YEAR(Sep_Dim1+19)=Année_Calendaire,MONTH(Sep_Dim1+19)=9),Sep_Dim1+19,""),IF(AND(YEAR(Sep_Dim1+26)=Année_Calendaire,MONTH(Sep_Dim1+26)=9),Sep_Dim1+26,""))</f>
        <v>42636</v>
      </c>
      <c r="AI150" s="54">
        <f>IF(DAY(Sep_Dim1)=1,IF(AND(YEAR(Sep_Dim1+20)=Année_Calendaire,MONTH(Sep_Dim1+20)=9),Sep_Dim1+20,""),IF(AND(YEAR(Sep_Dim1+27)=Année_Calendaire,MONTH(Sep_Dim1+27)=9),Sep_Dim1+27,""))</f>
        <v>42637</v>
      </c>
      <c r="AJ150" s="54">
        <f>IF(DAY(Sep_Dim1)=1,IF(AND(YEAR(Sep_Dim1+21)=Année_Calendaire,MONTH(Sep_Dim1+21)=9),Sep_Dim1+21,""),IF(AND(YEAR(Sep_Dim1+28)=Année_Calendaire,MONTH(Sep_Dim1+28)=9),Sep_Dim1+28,""))</f>
        <v>42638</v>
      </c>
      <c r="AK150" s="73"/>
      <c r="AL150" s="54"/>
      <c r="AM150" s="54">
        <f>IF(DAY(Sep_Dim1)=1,IF(AND(YEAR(Sep_Dim1+22)=Année_Calendaire,MONTH(Sep_Dim1+22)=9),Sep_Dim1+22,""),IF(AND(YEAR(Sep_Dim1+29)=Année_Calendaire,MONTH(Sep_Dim1+29)=9),Sep_Dim1+29,""))</f>
        <v>42639</v>
      </c>
      <c r="AN150" s="54">
        <f>IF(DAY(Sep_Dim1)=1,IF(AND(YEAR(Sep_Dim1+23)=Année_Calendaire,MONTH(Sep_Dim1+23)=9),Sep_Dim1+23,""),IF(AND(YEAR(Sep_Dim1+30)=Année_Calendaire,MONTH(Sep_Dim1+30)=9),Sep_Dim1+30,""))</f>
        <v>42640</v>
      </c>
      <c r="AO150" s="54">
        <f>IF(DAY(Sep_Dim1)=1,IF(AND(YEAR(Sep_Dim1+24)=Année_Calendaire,MONTH(Sep_Dim1+24)=9),Sep_Dim1+24,""),IF(AND(YEAR(Sep_Dim1+31)=Année_Calendaire,MONTH(Sep_Dim1+31)=9),Sep_Dim1+31,""))</f>
        <v>42641</v>
      </c>
      <c r="AP150" s="54">
        <f>IF(DAY(Sep_Dim1)=1,IF(AND(YEAR(Sep_Dim1+25)=Année_Calendaire,MONTH(Sep_Dim1+25)=9),Sep_Dim1+25,""),IF(AND(YEAR(Sep_Dim1+32)=Année_Calendaire,MONTH(Sep_Dim1+32)=9),Sep_Dim1+32,""))</f>
        <v>42642</v>
      </c>
      <c r="AQ150" s="54">
        <f>IF(DAY(Sep_Dim1)=1,IF(AND(YEAR(Sep_Dim1+26)=Année_Calendaire,MONTH(Sep_Dim1+26)=9),Sep_Dim1+26,""),IF(AND(YEAR(Sep_Dim1+33)=Année_Calendaire,MONTH(Sep_Dim1+33)=9),Sep_Dim1+33,""))</f>
        <v>42643</v>
      </c>
      <c r="AR150" s="54" t="str">
        <f>IF(DAY(Sep_Dim1)=1,IF(AND(YEAR(Sep_Dim1+27)=Année_Calendaire,MONTH(Sep_Dim1+27)=9),Sep_Dim1+27,""),IF(AND(YEAR(Sep_Dim1+34)=Année_Calendaire,MONTH(Sep_Dim1+34)=9),Sep_Dim1+34,""))</f>
        <v/>
      </c>
      <c r="AS150" s="54" t="str">
        <f>IF(DAY(Sep_Dim1)=1,IF(AND(YEAR(Sep_Dim1+28)=Année_Calendaire,MONTH(Sep_Dim1+28)=9),Sep_Dim1+28,""),IF(AND(YEAR(Sep_Dim1+35)=Année_Calendaire,MONTH(Sep_Dim1+35)=9),Sep_Dim1+35,""))</f>
        <v/>
      </c>
      <c r="AT150" s="73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73"/>
      <c r="AY150" s="73"/>
      <c r="AZ150" s="74"/>
      <c r="BA150" s="74"/>
      <c r="BB150" s="32"/>
      <c r="BC150" s="32"/>
      <c r="BD150" s="32"/>
      <c r="BE150" s="32"/>
      <c r="BF150" s="24"/>
    </row>
    <row r="151" spans="1:59" s="5" customFormat="1" ht="15" customHeight="1" x14ac:dyDescent="0.25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>
        <f>IF(F150="","",IFERROR(VLOOKUP(B149,DATA!$A:$H,5,TRUE),0))</f>
        <v>0</v>
      </c>
      <c r="G151" s="49">
        <f>IF(G150="","",IFERROR(VLOOKUP(B149,DATA!$A:$H,6,TRUE),0))</f>
        <v>0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nuit</v>
      </c>
      <c r="M151" s="49" t="str">
        <f>IF(M150="","",IFERROR(VLOOKUP(K149,DATA!$A:$H,3,TRUE),0))</f>
        <v>nuit</v>
      </c>
      <c r="N151" s="49" t="str">
        <f>IF(N150="","",IFERROR(VLOOKUP(K149,DATA!$A:$H,4,TRUE),0))</f>
        <v>nuit</v>
      </c>
      <c r="O151" s="49" t="str">
        <f>IF(O150="","",IFERROR(VLOOKUP(K149,DATA!$A:$H,5,TRUE),0))</f>
        <v>nuit</v>
      </c>
      <c r="P151" s="49" t="str">
        <f>IF(P150="","",IFERROR(VLOOKUP(K149,DATA!$A:$H,6,TRUE),0))</f>
        <v>nuit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matin</v>
      </c>
      <c r="V151" s="49">
        <f>IF(V150="","",IFERROR(VLOOKUP(T149,DATA!$A:$H,3,TRUE),0))</f>
        <v>0</v>
      </c>
      <c r="W151" s="49">
        <f>IF(W150="","",IFERROR(VLOOKUP(T149,DATA!$A:$H,4,TRUE),0))</f>
        <v>0</v>
      </c>
      <c r="X151" s="49" t="str">
        <f>IF(X150="","",IFERROR(VLOOKUP(T149,DATA!$A:$H,5,TRUE),0))</f>
        <v>matin</v>
      </c>
      <c r="Y151" s="49" t="str">
        <f>IF(Y150="","",IFERROR(VLOOKUP(T149,DATA!$A:$H,6,TRUE),0))</f>
        <v>matin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am</v>
      </c>
      <c r="AE151" s="49" t="str">
        <f>IF(AE150="","",IFERROR(VLOOKUP(AC149,DATA!$A:$H,3,TRUE),0))</f>
        <v>am</v>
      </c>
      <c r="AF151" s="49" t="str">
        <f>IF(AF150="","",IFERROR(VLOOKUP(AC149,DATA!$A:$H,4,TRUE),0))</f>
        <v>am</v>
      </c>
      <c r="AG151" s="49" t="str">
        <f>IF(AG150="","",IFERROR(VLOOKUP(AC149,DATA!$A:$H,5,TRUE),0))</f>
        <v>am</v>
      </c>
      <c r="AH151" s="49" t="str">
        <f>IF(AH150="","",IFERROR(VLOOKUP(AC149,DATA!$A:$H,6,TRUE),0))</f>
        <v>am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matin</v>
      </c>
      <c r="AN151" s="49" t="str">
        <f>IF(AN150="","",IFERROR(VLOOKUP(AL149,DATA!$A:$H,3,TRUE),0))</f>
        <v>matin</v>
      </c>
      <c r="AO151" s="49" t="str">
        <f>IF(AO150="","",IFERROR(VLOOKUP(AL149,DATA!$A:$H,4,TRUE),0))</f>
        <v>matin</v>
      </c>
      <c r="AP151" s="49">
        <f>IF(AP150="","",IFERROR(VLOOKUP(AL149,DATA!$A:$H,5,TRUE),0))</f>
        <v>0</v>
      </c>
      <c r="AQ151" s="49">
        <f>IF(AQ150="","",IFERROR(VLOOKUP(AL149,DATA!$A:$H,6,TRUE),0))</f>
        <v>0</v>
      </c>
      <c r="AR151" s="49" t="str">
        <f>IF(AR150="","",IFERROR(VLOOKUP(AL149,DATA!$A:$H,7,TRUE),0))</f>
        <v/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0</v>
      </c>
      <c r="H152" s="52">
        <f t="shared" si="340"/>
        <v>0</v>
      </c>
      <c r="I152" s="52">
        <f t="shared" si="340"/>
        <v>0</v>
      </c>
      <c r="J152" s="52">
        <f>SUM(C152:I152)</f>
        <v>0</v>
      </c>
      <c r="K152" s="51"/>
      <c r="L152" s="52">
        <f t="shared" ref="L152:R152" si="341">IF(L151="Matin",1,IF(L151="AM",1,0))</f>
        <v>0</v>
      </c>
      <c r="M152" s="52">
        <f t="shared" si="341"/>
        <v>0</v>
      </c>
      <c r="N152" s="52">
        <f t="shared" si="341"/>
        <v>0</v>
      </c>
      <c r="O152" s="52">
        <f t="shared" si="341"/>
        <v>0</v>
      </c>
      <c r="P152" s="52">
        <f t="shared" si="341"/>
        <v>0</v>
      </c>
      <c r="Q152" s="52">
        <f t="shared" si="341"/>
        <v>0</v>
      </c>
      <c r="R152" s="52">
        <f t="shared" si="341"/>
        <v>0</v>
      </c>
      <c r="S152" s="52">
        <f>SUM(L152:R152)</f>
        <v>0</v>
      </c>
      <c r="T152" s="51"/>
      <c r="U152" s="52">
        <f t="shared" ref="U152:AA152" si="342">IF(U151="Matin",1,IF(U151="AM",1,0))</f>
        <v>1</v>
      </c>
      <c r="V152" s="52">
        <f t="shared" si="342"/>
        <v>0</v>
      </c>
      <c r="W152" s="52">
        <f t="shared" si="342"/>
        <v>0</v>
      </c>
      <c r="X152" s="52">
        <f t="shared" si="342"/>
        <v>1</v>
      </c>
      <c r="Y152" s="52">
        <f t="shared" si="342"/>
        <v>1</v>
      </c>
      <c r="Z152" s="52">
        <f t="shared" si="342"/>
        <v>0</v>
      </c>
      <c r="AA152" s="52">
        <f t="shared" si="342"/>
        <v>0</v>
      </c>
      <c r="AB152" s="52">
        <f>SUM(U152:AA152)</f>
        <v>3</v>
      </c>
      <c r="AC152" s="51"/>
      <c r="AD152" s="52">
        <f t="shared" ref="AD152:AJ152" si="343">IF(AD151="Matin",1,IF(AD151="AM",1,0))</f>
        <v>1</v>
      </c>
      <c r="AE152" s="52">
        <f t="shared" si="343"/>
        <v>1</v>
      </c>
      <c r="AF152" s="52">
        <f t="shared" si="343"/>
        <v>1</v>
      </c>
      <c r="AG152" s="52">
        <f t="shared" si="343"/>
        <v>1</v>
      </c>
      <c r="AH152" s="52">
        <f t="shared" si="343"/>
        <v>1</v>
      </c>
      <c r="AI152" s="52">
        <f t="shared" si="343"/>
        <v>0</v>
      </c>
      <c r="AJ152" s="52">
        <f t="shared" si="343"/>
        <v>0</v>
      </c>
      <c r="AK152" s="52">
        <f>SUM(AD152:AJ152)</f>
        <v>5</v>
      </c>
      <c r="AL152" s="51"/>
      <c r="AM152" s="52">
        <f t="shared" ref="AM152:AS152" si="344">IF(AM151="Matin",1,IF(AM151="AM",1,0))</f>
        <v>1</v>
      </c>
      <c r="AN152" s="52">
        <f t="shared" si="344"/>
        <v>1</v>
      </c>
      <c r="AO152" s="52">
        <f t="shared" si="344"/>
        <v>1</v>
      </c>
      <c r="AP152" s="52">
        <f t="shared" si="344"/>
        <v>0</v>
      </c>
      <c r="AQ152" s="52">
        <f t="shared" si="344"/>
        <v>0</v>
      </c>
      <c r="AR152" s="52">
        <f t="shared" si="344"/>
        <v>0</v>
      </c>
      <c r="AS152" s="52">
        <f t="shared" si="344"/>
        <v>0</v>
      </c>
      <c r="AT152" s="52">
        <f>SUM(AM152:AS152)</f>
        <v>3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0</v>
      </c>
      <c r="G153" s="49">
        <f t="shared" si="347"/>
        <v>0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0</v>
      </c>
      <c r="K153" s="48"/>
      <c r="L153" s="49">
        <f>IF(L154&gt;=1,1,0)</f>
        <v>1</v>
      </c>
      <c r="M153" s="49">
        <f t="shared" ref="M153:R153" si="349">IF(M154&gt;=1,1,0)</f>
        <v>1</v>
      </c>
      <c r="N153" s="49">
        <f t="shared" si="349"/>
        <v>1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5</v>
      </c>
      <c r="T153" s="48"/>
      <c r="U153" s="49">
        <f>IF(U154&gt;=1,1,0)</f>
        <v>1</v>
      </c>
      <c r="V153" s="49">
        <f t="shared" ref="V153:AA153" si="351">IF(V154&gt;=1,1,0)</f>
        <v>0</v>
      </c>
      <c r="W153" s="49">
        <f t="shared" si="351"/>
        <v>0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3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1</v>
      </c>
      <c r="AH153" s="49">
        <f t="shared" si="353"/>
        <v>1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5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0</v>
      </c>
      <c r="AQ153" s="49">
        <f t="shared" si="355"/>
        <v>0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3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0</v>
      </c>
      <c r="G154" s="52">
        <f t="shared" si="359"/>
        <v>0</v>
      </c>
      <c r="H154" s="52">
        <f t="shared" si="359"/>
        <v>0</v>
      </c>
      <c r="I154" s="52">
        <f t="shared" si="359"/>
        <v>0</v>
      </c>
      <c r="J154" s="52">
        <f t="shared" si="348"/>
        <v>0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8</v>
      </c>
      <c r="N154" s="52">
        <f t="shared" si="360"/>
        <v>8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40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0</v>
      </c>
      <c r="W154" s="52">
        <f t="shared" si="361"/>
        <v>0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24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8</v>
      </c>
      <c r="AH154" s="52">
        <f t="shared" si="362"/>
        <v>8</v>
      </c>
      <c r="AI154" s="52">
        <f t="shared" si="362"/>
        <v>0</v>
      </c>
      <c r="AJ154" s="52">
        <f t="shared" si="362"/>
        <v>0</v>
      </c>
      <c r="AK154" s="52">
        <f t="shared" si="354"/>
        <v>40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0</v>
      </c>
      <c r="AQ154" s="52">
        <f t="shared" si="363"/>
        <v>0</v>
      </c>
      <c r="AR154" s="52">
        <f t="shared" si="363"/>
        <v>0</v>
      </c>
      <c r="AS154" s="52">
        <f t="shared" si="363"/>
        <v>0</v>
      </c>
      <c r="AT154" s="52">
        <f t="shared" si="356"/>
        <v>24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48" t="s">
        <v>20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3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3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0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0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3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3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0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0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5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5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0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0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5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5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0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0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48" t="s">
        <v>44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0.16</v>
      </c>
      <c r="M163" s="49">
        <f>IF(M151="nuit",M154*0.02,0)</f>
        <v>0.16</v>
      </c>
      <c r="N163" s="49">
        <f t="shared" ref="N163:R163" si="372">IF(N151="nuit",N154*0.02,0)</f>
        <v>0.16</v>
      </c>
      <c r="O163" s="49">
        <f t="shared" si="372"/>
        <v>0.16</v>
      </c>
      <c r="P163" s="49">
        <f>IF(P151="nuit",P154*0.02,0)</f>
        <v>0.16</v>
      </c>
      <c r="Q163" s="49">
        <f t="shared" si="372"/>
        <v>0</v>
      </c>
      <c r="R163" s="49">
        <f t="shared" si="372"/>
        <v>0</v>
      </c>
      <c r="S163" s="52">
        <f t="shared" si="350"/>
        <v>0.8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5">IF(AO151="nuit",AO154*0.02,0)</f>
        <v>0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51" t="s">
        <v>31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72">
        <f>Année_Calendaire</f>
        <v>2016</v>
      </c>
      <c r="I166" s="72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28</v>
      </c>
      <c r="V166" s="19"/>
      <c r="W166" s="19"/>
      <c r="X166" s="19"/>
      <c r="Y166" s="19"/>
      <c r="Z166" s="72">
        <f>Année_Calendaire</f>
        <v>2016</v>
      </c>
      <c r="AA166" s="72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28</v>
      </c>
      <c r="AN166" s="19"/>
      <c r="AO166" s="19"/>
      <c r="AP166" s="19"/>
      <c r="AQ166" s="19"/>
      <c r="AR166" s="72">
        <f>Année_Calendaire</f>
        <v>2016</v>
      </c>
      <c r="AS166" s="72"/>
      <c r="AT166" s="37"/>
      <c r="AU166" s="44"/>
      <c r="AV166" s="26"/>
      <c r="AW166" s="26"/>
      <c r="AX166" s="37"/>
    </row>
    <row r="167" spans="1:59" s="23" customFormat="1" ht="29.25" customHeight="1" x14ac:dyDescent="0.25">
      <c r="A167" s="36"/>
      <c r="B167" s="55" t="str">
        <f>IF(AU149&lt;&gt;"",AU149,IF(AL149="C1","C2",IF(AL149="C2","C3",IF(AL149="C3","C4",IF(AL149="C4","C1","")))))</f>
        <v>C2</v>
      </c>
      <c r="C167" s="53" t="s">
        <v>13</v>
      </c>
      <c r="D167" s="53" t="s">
        <v>14</v>
      </c>
      <c r="E167" s="53" t="s">
        <v>15</v>
      </c>
      <c r="F167" s="53" t="s">
        <v>16</v>
      </c>
      <c r="G167" s="53" t="s">
        <v>17</v>
      </c>
      <c r="H167" s="53" t="s">
        <v>18</v>
      </c>
      <c r="I167" s="53" t="s">
        <v>19</v>
      </c>
      <c r="J167" s="73" t="s">
        <v>32</v>
      </c>
      <c r="K167" s="55" t="str">
        <f>IF(B167="C1","C2",IF(B167="C2","C3",IF(B167="C3","C4",IF(B167="C4","C1",""))))</f>
        <v>C3</v>
      </c>
      <c r="L167" s="53" t="str">
        <f>IF(L168&lt;&gt;"","Lun","")</f>
        <v>Lun</v>
      </c>
      <c r="M167" s="53" t="str">
        <f>IF(M168&lt;&gt;"","Mar","")</f>
        <v>Mar</v>
      </c>
      <c r="N167" s="53" t="str">
        <f>IF(N168&lt;&gt;"","Mer","")</f>
        <v>Mer</v>
      </c>
      <c r="O167" s="53" t="str">
        <f>IF(O168&lt;&gt;"","Jeu","")</f>
        <v>Jeu</v>
      </c>
      <c r="P167" s="53" t="str">
        <f>IF(P168&lt;&gt;"","Ven","")</f>
        <v>Ven</v>
      </c>
      <c r="Q167" s="53" t="str">
        <f>IF(Q168&lt;&gt;"","Sam","")</f>
        <v>Sam</v>
      </c>
      <c r="R167" s="53" t="str">
        <f>IF(R168&lt;&gt;"","Dim","")</f>
        <v>Dim</v>
      </c>
      <c r="S167" s="73" t="s">
        <v>32</v>
      </c>
      <c r="T167" s="55" t="str">
        <f>IF(K167="C1","C2",IF(K167="C2","C3",IF(K167="C3","C4",IF(K167="C4","C1",""))))</f>
        <v>C4</v>
      </c>
      <c r="U167" s="53" t="str">
        <f>IF(U168&lt;&gt;"","Lun","")</f>
        <v>Lun</v>
      </c>
      <c r="V167" s="53" t="str">
        <f>IF(V168&lt;&gt;"","Mar","")</f>
        <v>Mar</v>
      </c>
      <c r="W167" s="53" t="str">
        <f>IF(W168&lt;&gt;"","Mer","")</f>
        <v>Mer</v>
      </c>
      <c r="X167" s="53" t="str">
        <f>IF(X168&lt;&gt;"","Jeu","")</f>
        <v>Jeu</v>
      </c>
      <c r="Y167" s="53" t="str">
        <f>IF(Y168&lt;&gt;"","Ven","")</f>
        <v>Ven</v>
      </c>
      <c r="Z167" s="53" t="str">
        <f>IF(Z168&lt;&gt;"","Sam","")</f>
        <v>Sam</v>
      </c>
      <c r="AA167" s="53" t="str">
        <f>IF(AA168&lt;&gt;"","Dim","")</f>
        <v>Dim</v>
      </c>
      <c r="AB167" s="73" t="s">
        <v>32</v>
      </c>
      <c r="AC167" s="55" t="str">
        <f>IF(T167="C1","C2",IF(T167="C2","C3",IF(T167="C3","C4",IF(T167="C4","C1",""))))</f>
        <v>C1</v>
      </c>
      <c r="AD167" s="53" t="str">
        <f>IF(AD168&lt;&gt;"","Lun","")</f>
        <v>Lun</v>
      </c>
      <c r="AE167" s="53" t="str">
        <f>IF(AE168&lt;&gt;"","Mar","")</f>
        <v>Mar</v>
      </c>
      <c r="AF167" s="53" t="str">
        <f>IF(AF168&lt;&gt;"","Mer","")</f>
        <v>Mer</v>
      </c>
      <c r="AG167" s="53" t="str">
        <f>IF(AG168&lt;&gt;"","Jeu","")</f>
        <v>Jeu</v>
      </c>
      <c r="AH167" s="53" t="str">
        <f>IF(AH168&lt;&gt;"","Ven","")</f>
        <v>Ven</v>
      </c>
      <c r="AI167" s="53" t="str">
        <f>IF(AI168&lt;&gt;"","Sam","")</f>
        <v>Sam</v>
      </c>
      <c r="AJ167" s="53" t="str">
        <f>IF(AJ168&lt;&gt;"","Dim","")</f>
        <v>Dim</v>
      </c>
      <c r="AK167" s="73" t="s">
        <v>32</v>
      </c>
      <c r="AL167" s="55" t="str">
        <f>IF(AC167="C1","C2",IF(AC167="C2","C3",IF(AC167="C3","C4",IF(AC167="C4","C1",""))))</f>
        <v>C2</v>
      </c>
      <c r="AM167" s="53" t="str">
        <f>IF(AM168&lt;&gt;"","Lun","")</f>
        <v>Lun</v>
      </c>
      <c r="AN167" s="53" t="str">
        <f>IF(AN168&lt;&gt;"","Mar","")</f>
        <v>Mar</v>
      </c>
      <c r="AO167" s="53" t="str">
        <f>IF(AO168&lt;&gt;"","Mer","")</f>
        <v>Mer</v>
      </c>
      <c r="AP167" s="53" t="str">
        <f>IF(AP168&lt;&gt;"","Jeu","")</f>
        <v>Jeu</v>
      </c>
      <c r="AQ167" s="53" t="str">
        <f>IF(AQ168&lt;&gt;"","Ven","")</f>
        <v>Ven</v>
      </c>
      <c r="AR167" s="53" t="str">
        <f>IF(AR168&lt;&gt;"","Sam","")</f>
        <v>Sam</v>
      </c>
      <c r="AS167" s="53" t="str">
        <f>IF(AS168&lt;&gt;"","Dim","")</f>
        <v>Dim</v>
      </c>
      <c r="AT167" s="73" t="s">
        <v>32</v>
      </c>
      <c r="AU167" s="55" t="str">
        <f>IF(AV167&lt;&gt;"",IF(AL167="C1","C2",IF(AL167="C2","C3",IF(AL167="C3","C4",IF(AL167="C4","C1","")))),"")</f>
        <v>C3</v>
      </c>
      <c r="AV167" s="53" t="str">
        <f>IF(AV168&lt;&gt;"","Lun","")</f>
        <v>Lun</v>
      </c>
      <c r="AW167" s="53" t="str">
        <f>IF(AW168&lt;&gt;"","Mar","")</f>
        <v/>
      </c>
      <c r="AX167" s="73" t="s">
        <v>32</v>
      </c>
      <c r="AY167" s="73" t="s">
        <v>35</v>
      </c>
      <c r="AZ167" s="74">
        <f>AY174+AY175+AY176</f>
        <v>10</v>
      </c>
      <c r="BA167" s="74">
        <f>AZ167+BA149</f>
        <v>90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54"/>
      <c r="C168" s="54" t="str">
        <f>IF(DAY(Oct_Dim1)=1,"",IF(AND(YEAR(Oct_Dim1+1)=Année_Calendaire,MONTH(Oct_Dim1+1)=10),Oct_Dim1+1,""))</f>
        <v/>
      </c>
      <c r="D168" s="54" t="str">
        <f>IF(DAY(Oct_Dim1)=1,"",IF(AND(YEAR(Oct_Dim1+2)=Année_Calendaire,MONTH(Oct_Dim1+2)=10),Oct_Dim1+2,""))</f>
        <v/>
      </c>
      <c r="E168" s="54" t="str">
        <f>IF(DAY(Oct_Dim1)=1,"",IF(AND(YEAR(Oct_Dim1+3)=Année_Calendaire,MONTH(Oct_Dim1+3)=10),Oct_Dim1+3,""))</f>
        <v/>
      </c>
      <c r="F168" s="54" t="str">
        <f>IF(DAY(Oct_Dim1)=1,"",IF(AND(YEAR(Oct_Dim1+4)=Année_Calendaire,MONTH(Oct_Dim1+4)=10),Oct_Dim1+4,""))</f>
        <v/>
      </c>
      <c r="G168" s="54" t="str">
        <f>IF(DAY(Oct_Dim1)=1,"",IF(AND(YEAR(Oct_Dim1+5)=Année_Calendaire,MONTH(Oct_Dim1+5)=10),Oct_Dim1+5,""))</f>
        <v/>
      </c>
      <c r="H168" s="54">
        <f>IF(DAY(Oct_Dim1)=1,"",IF(AND(YEAR(Oct_Dim1+6)=Année_Calendaire,MONTH(Oct_Dim1+6)=10),Oct_Dim1+6,""))</f>
        <v>42644</v>
      </c>
      <c r="I168" s="54">
        <f>IF(DAY(Oct_Dim1)=1,IF(AND(YEAR(Oct_Dim1)=Année_Calendaire,MONTH(Oct_Dim1)=10),Oct_Dim1,""),IF(AND(YEAR(Oct_Dim1+7)=Année_Calendaire,MONTH(Oct_Dim1+7)=10),Oct_Dim1+7,""))</f>
        <v>42645</v>
      </c>
      <c r="J168" s="73"/>
      <c r="K168" s="54"/>
      <c r="L168" s="54">
        <f>IF(DAY(Oct_Dim1)=1,IF(AND(YEAR(Oct_Dim1+1)=Année_Calendaire,MONTH(Oct_Dim1+1)=10),Oct_Dim1+1,""),IF(AND(YEAR(Oct_Dim1+8)=Année_Calendaire,MONTH(Oct_Dim1+8)=10),Oct_Dim1+8,""))</f>
        <v>42646</v>
      </c>
      <c r="M168" s="54">
        <f>IF(DAY(Oct_Dim1)=1,IF(AND(YEAR(Oct_Dim1+2)=Année_Calendaire,MONTH(Oct_Dim1+2)=10),Oct_Dim1+2,""),IF(AND(YEAR(Oct_Dim1+9)=Année_Calendaire,MONTH(Oct_Dim1+9)=10),Oct_Dim1+9,""))</f>
        <v>42647</v>
      </c>
      <c r="N168" s="54">
        <f>IF(DAY(Oct_Dim1)=1,IF(AND(YEAR(Oct_Dim1+3)=Année_Calendaire,MONTH(Oct_Dim1+3)=10),Oct_Dim1+3,""),IF(AND(YEAR(Oct_Dim1+10)=Année_Calendaire,MONTH(Oct_Dim1+10)=10),Oct_Dim1+10,""))</f>
        <v>42648</v>
      </c>
      <c r="O168" s="54">
        <f>IF(DAY(Oct_Dim1)=1,IF(AND(YEAR(Oct_Dim1+4)=Année_Calendaire,MONTH(Oct_Dim1+4)=10),Oct_Dim1+4,""),IF(AND(YEAR(Oct_Dim1+11)=Année_Calendaire,MONTH(Oct_Dim1+11)=10),Oct_Dim1+11,""))</f>
        <v>42649</v>
      </c>
      <c r="P168" s="54">
        <f>IF(DAY(Oct_Dim1)=1,IF(AND(YEAR(Oct_Dim1+5)=Année_Calendaire,MONTH(Oct_Dim1+5)=10),Oct_Dim1+5,""),IF(AND(YEAR(Oct_Dim1+12)=Année_Calendaire,MONTH(Oct_Dim1+12)=10),Oct_Dim1+12,""))</f>
        <v>42650</v>
      </c>
      <c r="Q168" s="54">
        <f>IF(DAY(Oct_Dim1)=1,IF(AND(YEAR(Oct_Dim1+6)=Année_Calendaire,MONTH(Oct_Dim1+6)=10),Oct_Dim1+6,""),IF(AND(YEAR(Oct_Dim1+13)=Année_Calendaire,MONTH(Oct_Dim1+13)=10),Oct_Dim1+13,""))</f>
        <v>42651</v>
      </c>
      <c r="R168" s="54">
        <f>IF(DAY(Oct_Dim1)=1,IF(AND(YEAR(Oct_Dim1+7)=Année_Calendaire,MONTH(Oct_Dim1+7)=10),Oct_Dim1+7,""),IF(AND(YEAR(Oct_Dim1+14)=Année_Calendaire,MONTH(Oct_Dim1+14)=10),Oct_Dim1+14,""))</f>
        <v>42652</v>
      </c>
      <c r="S168" s="73"/>
      <c r="T168" s="54"/>
      <c r="U168" s="54">
        <f>IF(DAY(Oct_Dim1)=1,IF(AND(YEAR(Oct_Dim1+8)=Année_Calendaire,MONTH(Oct_Dim1+8)=10),Oct_Dim1+8,""),IF(AND(YEAR(Oct_Dim1+15)=Année_Calendaire,MONTH(Oct_Dim1+15)=10),Oct_Dim1+15,""))</f>
        <v>42653</v>
      </c>
      <c r="V168" s="54">
        <f>IF(DAY(Oct_Dim1)=1,IF(AND(YEAR(Oct_Dim1+9)=Année_Calendaire,MONTH(Oct_Dim1+9)=10),Oct_Dim1+9,""),IF(AND(YEAR(Oct_Dim1+16)=Année_Calendaire,MONTH(Oct_Dim1+16)=10),Oct_Dim1+16,""))</f>
        <v>42654</v>
      </c>
      <c r="W168" s="54">
        <f>IF(DAY(Oct_Dim1)=1,IF(AND(YEAR(Oct_Dim1+10)=Année_Calendaire,MONTH(Oct_Dim1+10)=10),Oct_Dim1+10,""),IF(AND(YEAR(Oct_Dim1+17)=Année_Calendaire,MONTH(Oct_Dim1+17)=10),Oct_Dim1+17,""))</f>
        <v>42655</v>
      </c>
      <c r="X168" s="54">
        <f>IF(DAY(Oct_Dim1)=1,IF(AND(YEAR(Oct_Dim1+11)=Année_Calendaire,MONTH(Oct_Dim1+11)=10),Oct_Dim1+11,""),IF(AND(YEAR(Oct_Dim1+18)=Année_Calendaire,MONTH(Oct_Dim1+18)=10),Oct_Dim1+18,""))</f>
        <v>42656</v>
      </c>
      <c r="Y168" s="54">
        <f>IF(DAY(Oct_Dim1)=1,IF(AND(YEAR(Oct_Dim1+12)=Année_Calendaire,MONTH(Oct_Dim1+12)=10),Oct_Dim1+12,""),IF(AND(YEAR(Oct_Dim1+19)=Année_Calendaire,MONTH(Oct_Dim1+19)=10),Oct_Dim1+19,""))</f>
        <v>42657</v>
      </c>
      <c r="Z168" s="54">
        <f>IF(DAY(Oct_Dim1)=1,IF(AND(YEAR(Oct_Dim1+13)=Année_Calendaire,MONTH(Oct_Dim1+13)=10),Oct_Dim1+13,""),IF(AND(YEAR(Oct_Dim1+20)=Année_Calendaire,MONTH(Oct_Dim1+20)=10),Oct_Dim1+20,""))</f>
        <v>42658</v>
      </c>
      <c r="AA168" s="54">
        <f>IF(DAY(Oct_Dim1)=1,IF(AND(YEAR(Oct_Dim1+14)=Année_Calendaire,MONTH(Oct_Dim1+14)=10),Oct_Dim1+14,""),IF(AND(YEAR(Oct_Dim1+21)=Année_Calendaire,MONTH(Oct_Dim1+21)=10),Oct_Dim1+21,""))</f>
        <v>42659</v>
      </c>
      <c r="AB168" s="73"/>
      <c r="AC168" s="54"/>
      <c r="AD168" s="54">
        <f>IF(DAY(Oct_Dim1)=1,IF(AND(YEAR(Oct_Dim1+15)=Année_Calendaire,MONTH(Oct_Dim1+15)=10),Oct_Dim1+15,""),IF(AND(YEAR(Oct_Dim1+22)=Année_Calendaire,MONTH(Oct_Dim1+22)=10),Oct_Dim1+22,""))</f>
        <v>42660</v>
      </c>
      <c r="AE168" s="54">
        <f>IF(DAY(Oct_Dim1)=1,IF(AND(YEAR(Oct_Dim1+16)=Année_Calendaire,MONTH(Oct_Dim1+16)=10),Oct_Dim1+16,""),IF(AND(YEAR(Oct_Dim1+23)=Année_Calendaire,MONTH(Oct_Dim1+23)=10),Oct_Dim1+23,""))</f>
        <v>42661</v>
      </c>
      <c r="AF168" s="54">
        <f>IF(DAY(Oct_Dim1)=1,IF(AND(YEAR(Oct_Dim1+17)=Année_Calendaire,MONTH(Oct_Dim1+17)=10),Oct_Dim1+17,""),IF(AND(YEAR(Oct_Dim1+24)=Année_Calendaire,MONTH(Oct_Dim1+24)=10),Oct_Dim1+24,""))</f>
        <v>42662</v>
      </c>
      <c r="AG168" s="54">
        <f>IF(DAY(Oct_Dim1)=1,IF(AND(YEAR(Oct_Dim1+18)=Année_Calendaire,MONTH(Oct_Dim1+18)=10),Oct_Dim1+18,""),IF(AND(YEAR(Oct_Dim1+25)=Année_Calendaire,MONTH(Oct_Dim1+25)=10),Oct_Dim1+25,""))</f>
        <v>42663</v>
      </c>
      <c r="AH168" s="54">
        <f>IF(DAY(Oct_Dim1)=1,IF(AND(YEAR(Oct_Dim1+19)=Année_Calendaire,MONTH(Oct_Dim1+19)=10),Oct_Dim1+19,""),IF(AND(YEAR(Oct_Dim1+26)=Année_Calendaire,MONTH(Oct_Dim1+26)=10),Oct_Dim1+26,""))</f>
        <v>42664</v>
      </c>
      <c r="AI168" s="54">
        <f>IF(DAY(Oct_Dim1)=1,IF(AND(YEAR(Oct_Dim1+20)=Année_Calendaire,MONTH(Oct_Dim1+20)=10),Oct_Dim1+20,""),IF(AND(YEAR(Oct_Dim1+27)=Année_Calendaire,MONTH(Oct_Dim1+27)=10),Oct_Dim1+27,""))</f>
        <v>42665</v>
      </c>
      <c r="AJ168" s="54">
        <f>IF(DAY(Oct_Dim1)=1,IF(AND(YEAR(Oct_Dim1+21)=Année_Calendaire,MONTH(Oct_Dim1+21)=10),Oct_Dim1+21,""),IF(AND(YEAR(Oct_Dim1+28)=Année_Calendaire,MONTH(Oct_Dim1+28)=10),Oct_Dim1+28,""))</f>
        <v>42666</v>
      </c>
      <c r="AK168" s="73"/>
      <c r="AL168" s="54"/>
      <c r="AM168" s="54">
        <f>IF(DAY(Oct_Dim1)=1,IF(AND(YEAR(Oct_Dim1+22)=Année_Calendaire,MONTH(Oct_Dim1+22)=10),Oct_Dim1+22,""),IF(AND(YEAR(Oct_Dim1+29)=Année_Calendaire,MONTH(Oct_Dim1+29)=10),Oct_Dim1+29,""))</f>
        <v>42667</v>
      </c>
      <c r="AN168" s="54">
        <f>IF(DAY(Oct_Dim1)=1,IF(AND(YEAR(Oct_Dim1+23)=Année_Calendaire,MONTH(Oct_Dim1+23)=10),Oct_Dim1+23,""),IF(AND(YEAR(Oct_Dim1+30)=Année_Calendaire,MONTH(Oct_Dim1+30)=10),Oct_Dim1+30,""))</f>
        <v>42668</v>
      </c>
      <c r="AO168" s="54">
        <f>IF(DAY(Oct_Dim1)=1,IF(AND(YEAR(Oct_Dim1+24)=Année_Calendaire,MONTH(Oct_Dim1+24)=10),Oct_Dim1+24,""),IF(AND(YEAR(Oct_Dim1+31)=Année_Calendaire,MONTH(Oct_Dim1+31)=10),Oct_Dim1+31,""))</f>
        <v>42669</v>
      </c>
      <c r="AP168" s="54">
        <f>IF(DAY(Oct_Dim1)=1,IF(AND(YEAR(Oct_Dim1+25)=Année_Calendaire,MONTH(Oct_Dim1+25)=10),Oct_Dim1+25,""),IF(AND(YEAR(Oct_Dim1+32)=Année_Calendaire,MONTH(Oct_Dim1+32)=10),Oct_Dim1+32,""))</f>
        <v>42670</v>
      </c>
      <c r="AQ168" s="54">
        <f>IF(DAY(Oct_Dim1)=1,IF(AND(YEAR(Oct_Dim1+26)=Année_Calendaire,MONTH(Oct_Dim1+26)=10),Oct_Dim1+26,""),IF(AND(YEAR(Oct_Dim1+33)=Année_Calendaire,MONTH(Oct_Dim1+33)=10),Oct_Dim1+33,""))</f>
        <v>42671</v>
      </c>
      <c r="AR168" s="54">
        <f>IF(DAY(Oct_Dim1)=1,IF(AND(YEAR(Oct_Dim1+27)=Année_Calendaire,MONTH(Oct_Dim1+27)=10),Oct_Dim1+27,""),IF(AND(YEAR(Oct_Dim1+34)=Année_Calendaire,MONTH(Oct_Dim1+34)=10),Oct_Dim1+34,""))</f>
        <v>42672</v>
      </c>
      <c r="AS168" s="54">
        <f>IF(DAY(Oct_Dim1)=1,IF(AND(YEAR(Oct_Dim1+28)=Année_Calendaire,MONTH(Oct_Dim1+28)=10),Oct_Dim1+28,""),IF(AND(YEAR(Oct_Dim1+35)=Année_Calendaire,MONTH(Oct_Dim1+35)=10),Oct_Dim1+35,""))</f>
        <v>42673</v>
      </c>
      <c r="AT168" s="73"/>
      <c r="AU168" s="54"/>
      <c r="AV168" s="54">
        <f>IF(DAY(Oct_Dim1)=1,IF(AND(YEAR(Oct_Dim1+29)=Année_Calendaire,MONTH(Oct_Dim1+29)=10),Oct_Dim1+29,""),IF(AND(YEAR(Oct_Dim1+36)=Année_Calendaire,MONTH(Oct_Dim1+36)=10),Oct_Dim1+36,""))</f>
        <v>42674</v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73"/>
      <c r="AY168" s="73"/>
      <c r="AZ168" s="74"/>
      <c r="BA168" s="74"/>
      <c r="BB168" s="32"/>
      <c r="BC168" s="32"/>
      <c r="BD168" s="32"/>
      <c r="BE168" s="32"/>
      <c r="BF168" s="24"/>
    </row>
    <row r="169" spans="1:59" s="5" customFormat="1" ht="15" customHeight="1" x14ac:dyDescent="0.25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/>
      </c>
      <c r="G169" s="49" t="str">
        <f>IF(G168="","",IFERROR(VLOOKUP(B167,DATA!$A:$H,6,TRUE),0))</f>
        <v/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matin</v>
      </c>
      <c r="M169" s="49">
        <f>IF(M168="","",IFERROR(VLOOKUP(K167,DATA!$A:$H,3,TRUE),0))</f>
        <v>0</v>
      </c>
      <c r="N169" s="49">
        <f>IF(N168="","",IFERROR(VLOOKUP(K167,DATA!$A:$H,4,TRUE),0))</f>
        <v>0</v>
      </c>
      <c r="O169" s="49" t="str">
        <f>IF(O168="","",IFERROR(VLOOKUP(K167,DATA!$A:$H,5,TRUE),0))</f>
        <v>matin</v>
      </c>
      <c r="P169" s="49" t="str">
        <f>IF(P168="","",IFERROR(VLOOKUP(K167,DATA!$A:$H,6,TRUE),0))</f>
        <v>matin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am</v>
      </c>
      <c r="V169" s="49" t="str">
        <f>IF(V168="","",IFERROR(VLOOKUP(T167,DATA!$A:$H,3,TRUE),0))</f>
        <v>am</v>
      </c>
      <c r="W169" s="49" t="str">
        <f>IF(W168="","",IFERROR(VLOOKUP(T167,DATA!$A:$H,4,TRUE),0))</f>
        <v>am</v>
      </c>
      <c r="X169" s="49" t="str">
        <f>IF(X168="","",IFERROR(VLOOKUP(T167,DATA!$A:$H,5,TRUE),0))</f>
        <v>am</v>
      </c>
      <c r="Y169" s="49" t="str">
        <f>IF(Y168="","",IFERROR(VLOOKUP(T167,DATA!$A:$H,6,TRUE),0))</f>
        <v>am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matin</v>
      </c>
      <c r="AE169" s="49" t="str">
        <f>IF(AE168="","",IFERROR(VLOOKUP(AC167,DATA!$A:$H,3,TRUE),0))</f>
        <v>matin</v>
      </c>
      <c r="AF169" s="49" t="str">
        <f>IF(AF168="","",IFERROR(VLOOKUP(AC167,DATA!$A:$H,4,TRUE),0))</f>
        <v>matin</v>
      </c>
      <c r="AG169" s="49">
        <f>IF(AG168="","",IFERROR(VLOOKUP(AC167,DATA!$A:$H,5,TRUE),0))</f>
        <v>0</v>
      </c>
      <c r="AH169" s="49">
        <f>IF(AH168="","",IFERROR(VLOOKUP(AC167,DATA!$A:$H,6,TRUE),0))</f>
        <v>0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nuit</v>
      </c>
      <c r="AN169" s="49" t="str">
        <f>IF(AN168="","",IFERROR(VLOOKUP(AL167,DATA!$A:$H,3,TRUE),0))</f>
        <v>nuit</v>
      </c>
      <c r="AO169" s="49" t="str">
        <f>IF(AO168="","",IFERROR(VLOOKUP(AL167,DATA!$A:$H,4,TRUE),0))</f>
        <v>nuit</v>
      </c>
      <c r="AP169" s="49" t="str">
        <f>IF(AP168="","",IFERROR(VLOOKUP(AL167,DATA!$A:$H,5,TRUE),0))</f>
        <v>nuit</v>
      </c>
      <c r="AQ169" s="49" t="str">
        <f>IF(AQ168="","",IFERROR(VLOOKUP(AL167,DATA!$A:$H,6,TRUE),0))</f>
        <v>nuit</v>
      </c>
      <c r="AR169" s="49">
        <f>IF(AR168="","",IFERROR(VLOOKUP(AL167,DATA!$A:$H,7,TRUE),0))</f>
        <v>0</v>
      </c>
      <c r="AS169" s="49">
        <f>IF(AS168="","",IFERROR(VLOOKUP(AL167,DATA!$A:$H,8,TRUE),0))</f>
        <v>0</v>
      </c>
      <c r="AT169" s="52"/>
      <c r="AU169" s="48"/>
      <c r="AV169" s="49" t="str">
        <f>IF(AV168="","",IFERROR(VLOOKUP(AU167,DATA!$A:$H,2,TRUE),0))</f>
        <v>matin</v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1</v>
      </c>
      <c r="M170" s="52">
        <f t="shared" si="377"/>
        <v>0</v>
      </c>
      <c r="N170" s="52">
        <f t="shared" si="377"/>
        <v>0</v>
      </c>
      <c r="O170" s="52">
        <f t="shared" si="377"/>
        <v>1</v>
      </c>
      <c r="P170" s="52">
        <f t="shared" si="377"/>
        <v>1</v>
      </c>
      <c r="Q170" s="52">
        <f t="shared" si="377"/>
        <v>0</v>
      </c>
      <c r="R170" s="52">
        <f t="shared" si="377"/>
        <v>0</v>
      </c>
      <c r="S170" s="52">
        <f>SUM(L170:R170)</f>
        <v>3</v>
      </c>
      <c r="T170" s="51"/>
      <c r="U170" s="52">
        <f t="shared" ref="U170:AA170" si="378">IF(U169="Matin",1,IF(U169="AM",1,0))</f>
        <v>1</v>
      </c>
      <c r="V170" s="52">
        <f t="shared" si="378"/>
        <v>1</v>
      </c>
      <c r="W170" s="52">
        <f t="shared" si="378"/>
        <v>1</v>
      </c>
      <c r="X170" s="52">
        <f t="shared" si="378"/>
        <v>1</v>
      </c>
      <c r="Y170" s="52">
        <f t="shared" si="378"/>
        <v>1</v>
      </c>
      <c r="Z170" s="52">
        <f t="shared" si="378"/>
        <v>0</v>
      </c>
      <c r="AA170" s="52">
        <f t="shared" si="378"/>
        <v>0</v>
      </c>
      <c r="AB170" s="52">
        <f>SUM(U170:AA170)</f>
        <v>5</v>
      </c>
      <c r="AC170" s="51"/>
      <c r="AD170" s="52">
        <f t="shared" ref="AD170:AJ170" si="379">IF(AD169="Matin",1,IF(AD169="AM",1,0))</f>
        <v>1</v>
      </c>
      <c r="AE170" s="52">
        <f t="shared" si="379"/>
        <v>1</v>
      </c>
      <c r="AF170" s="52">
        <f t="shared" si="379"/>
        <v>1</v>
      </c>
      <c r="AG170" s="52">
        <f t="shared" si="379"/>
        <v>0</v>
      </c>
      <c r="AH170" s="52">
        <f t="shared" si="379"/>
        <v>0</v>
      </c>
      <c r="AI170" s="52">
        <f t="shared" si="379"/>
        <v>0</v>
      </c>
      <c r="AJ170" s="52">
        <f t="shared" si="379"/>
        <v>0</v>
      </c>
      <c r="AK170" s="52">
        <f>SUM(AD170:AJ170)</f>
        <v>3</v>
      </c>
      <c r="AL170" s="51"/>
      <c r="AM170" s="52">
        <f t="shared" ref="AM170:AS170" si="380">IF(AM169="Matin",1,IF(AM169="AM",1,0))</f>
        <v>0</v>
      </c>
      <c r="AN170" s="52">
        <f t="shared" si="380"/>
        <v>0</v>
      </c>
      <c r="AO170" s="52">
        <f t="shared" si="380"/>
        <v>0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0</v>
      </c>
      <c r="AU170" s="51"/>
      <c r="AV170" s="52">
        <f t="shared" ref="AV170:AW170" si="381">IF(AV169="Matin",1,IF(AV169="AM",1,0))</f>
        <v>1</v>
      </c>
      <c r="AW170" s="52">
        <f t="shared" si="381"/>
        <v>0</v>
      </c>
      <c r="AX170" s="52">
        <f t="shared" ref="AX170:AX177" si="382">SUM(AV170:AW170)</f>
        <v>1</v>
      </c>
      <c r="AY170" s="52">
        <f>J170+S170+AB170+AK170+AT170+AX170</f>
        <v>12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0</v>
      </c>
      <c r="G171" s="49">
        <f t="shared" si="383"/>
        <v>0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0</v>
      </c>
      <c r="K171" s="48"/>
      <c r="L171" s="49">
        <f>IF(L172&gt;=1,1,0)</f>
        <v>1</v>
      </c>
      <c r="M171" s="49">
        <f t="shared" ref="M171:R171" si="385">IF(M172&gt;=1,1,0)</f>
        <v>0</v>
      </c>
      <c r="N171" s="49">
        <f t="shared" si="385"/>
        <v>0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3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5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0</v>
      </c>
      <c r="AH171" s="49">
        <f t="shared" si="389"/>
        <v>0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3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1</v>
      </c>
      <c r="AQ171" s="49">
        <f t="shared" si="391"/>
        <v>1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5</v>
      </c>
      <c r="AU171" s="48"/>
      <c r="AV171" s="49">
        <f>IF(AV172&gt;=1,1,0)</f>
        <v>1</v>
      </c>
      <c r="AW171" s="49">
        <f t="shared" ref="AW171" si="393">IF(AW172&gt;=1,1,0)</f>
        <v>0</v>
      </c>
      <c r="AX171" s="52">
        <f t="shared" si="382"/>
        <v>1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0</v>
      </c>
      <c r="G172" s="52">
        <f t="shared" si="395"/>
        <v>0</v>
      </c>
      <c r="H172" s="52">
        <f t="shared" si="395"/>
        <v>0</v>
      </c>
      <c r="I172" s="52">
        <f t="shared" si="395"/>
        <v>0</v>
      </c>
      <c r="J172" s="52">
        <f t="shared" si="384"/>
        <v>0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0</v>
      </c>
      <c r="N172" s="52">
        <f t="shared" si="396"/>
        <v>0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24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40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0</v>
      </c>
      <c r="AH172" s="52">
        <f t="shared" si="398"/>
        <v>0</v>
      </c>
      <c r="AI172" s="52">
        <f t="shared" si="398"/>
        <v>0</v>
      </c>
      <c r="AJ172" s="52">
        <f t="shared" si="398"/>
        <v>0</v>
      </c>
      <c r="AK172" s="52">
        <f t="shared" si="390"/>
        <v>24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8</v>
      </c>
      <c r="AQ172" s="52">
        <f t="shared" si="399"/>
        <v>8</v>
      </c>
      <c r="AR172" s="52">
        <f t="shared" si="399"/>
        <v>0</v>
      </c>
      <c r="AS172" s="52">
        <f t="shared" si="399"/>
        <v>0</v>
      </c>
      <c r="AT172" s="52">
        <f t="shared" si="392"/>
        <v>40</v>
      </c>
      <c r="AU172" s="51"/>
      <c r="AV172" s="52">
        <f>IF(AV169="Matin",8,IF(AV169="AM",8,IF(AV169="nuit",8,0)))</f>
        <v>8</v>
      </c>
      <c r="AW172" s="52">
        <f t="shared" ref="AW172" si="400">IF(AW169="Matin",8,IF(AW169="AM",8,IF(AW169="nuit",8,0)))</f>
        <v>0</v>
      </c>
      <c r="AX172" s="52">
        <f t="shared" si="382"/>
        <v>8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48" t="s">
        <v>20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0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0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3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3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0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0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3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3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0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0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5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5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0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0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5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5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48" t="s">
        <v>44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0.16</v>
      </c>
      <c r="AN181" s="49">
        <f>IF(AN169="nuit",AN172*0.02,0)</f>
        <v>0.16</v>
      </c>
      <c r="AO181" s="49">
        <f t="shared" ref="AO181:AS181" si="412">IF(AO169="nuit",AO172*0.02,0)</f>
        <v>0.16</v>
      </c>
      <c r="AP181" s="49">
        <f t="shared" si="412"/>
        <v>0.16</v>
      </c>
      <c r="AQ181" s="49">
        <f>IF(AQ169="nuit",AQ172*0.02,0)</f>
        <v>0.16</v>
      </c>
      <c r="AR181" s="49">
        <f t="shared" si="412"/>
        <v>0</v>
      </c>
      <c r="AS181" s="49">
        <f t="shared" si="412"/>
        <v>0</v>
      </c>
      <c r="AT181" s="52">
        <f t="shared" si="392"/>
        <v>0.8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51" t="s">
        <v>31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72">
        <f>Année_Calendaire</f>
        <v>2016</v>
      </c>
      <c r="I184" s="72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29</v>
      </c>
      <c r="V184" s="19"/>
      <c r="W184" s="19"/>
      <c r="X184" s="19"/>
      <c r="Y184" s="19"/>
      <c r="Z184" s="72">
        <f>Année_Calendaire</f>
        <v>2016</v>
      </c>
      <c r="AA184" s="72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29</v>
      </c>
      <c r="AN184" s="19"/>
      <c r="AO184" s="19"/>
      <c r="AP184" s="19"/>
      <c r="AQ184" s="19"/>
      <c r="AR184" s="72">
        <f>Année_Calendaire</f>
        <v>2016</v>
      </c>
      <c r="AS184" s="72"/>
      <c r="AT184" s="37"/>
      <c r="AU184" s="44"/>
      <c r="AV184" s="26"/>
      <c r="AW184" s="26"/>
      <c r="AX184" s="37"/>
    </row>
    <row r="185" spans="1:59" s="23" customFormat="1" ht="29.25" customHeight="1" x14ac:dyDescent="0.25">
      <c r="A185" s="36"/>
      <c r="B185" s="55" t="str">
        <f>IF(AU167&lt;&gt;"",AU167,IF(AL167="C1","C2",IF(AL167="C2","C3",IF(AL167="C3","C4",IF(AL167="C4","C1","")))))</f>
        <v>C3</v>
      </c>
      <c r="C185" s="53" t="s">
        <v>13</v>
      </c>
      <c r="D185" s="53" t="s">
        <v>14</v>
      </c>
      <c r="E185" s="53" t="s">
        <v>15</v>
      </c>
      <c r="F185" s="53" t="s">
        <v>16</v>
      </c>
      <c r="G185" s="53" t="s">
        <v>17</v>
      </c>
      <c r="H185" s="53" t="s">
        <v>18</v>
      </c>
      <c r="I185" s="53" t="s">
        <v>19</v>
      </c>
      <c r="J185" s="73" t="s">
        <v>32</v>
      </c>
      <c r="K185" s="55" t="str">
        <f>IF(B185="C1","C2",IF(B185="C2","C3",IF(B185="C3","C4",IF(B185="C4","C1",""))))</f>
        <v>C4</v>
      </c>
      <c r="L185" s="53" t="str">
        <f>IF(L186&lt;&gt;"","Lun","")</f>
        <v>Lun</v>
      </c>
      <c r="M185" s="53" t="str">
        <f>IF(M186&lt;&gt;"","Mar","")</f>
        <v>Mar</v>
      </c>
      <c r="N185" s="53" t="str">
        <f>IF(N186&lt;&gt;"","Mer","")</f>
        <v>Mer</v>
      </c>
      <c r="O185" s="53" t="str">
        <f>IF(O186&lt;&gt;"","Jeu","")</f>
        <v>Jeu</v>
      </c>
      <c r="P185" s="53" t="str">
        <f>IF(P186&lt;&gt;"","Ven","")</f>
        <v>Ven</v>
      </c>
      <c r="Q185" s="53" t="str">
        <f>IF(Q186&lt;&gt;"","Sam","")</f>
        <v>Sam</v>
      </c>
      <c r="R185" s="53" t="str">
        <f>IF(R186&lt;&gt;"","Dim","")</f>
        <v>Dim</v>
      </c>
      <c r="S185" s="73" t="s">
        <v>32</v>
      </c>
      <c r="T185" s="55" t="str">
        <f>IF(K185="C1","C2",IF(K185="C2","C3",IF(K185="C3","C4",IF(K185="C4","C1",""))))</f>
        <v>C1</v>
      </c>
      <c r="U185" s="53" t="str">
        <f>IF(U186&lt;&gt;"","Lun","")</f>
        <v>Lun</v>
      </c>
      <c r="V185" s="53" t="str">
        <f>IF(V186&lt;&gt;"","Mar","")</f>
        <v>Mar</v>
      </c>
      <c r="W185" s="53" t="str">
        <f>IF(W186&lt;&gt;"","Mer","")</f>
        <v>Mer</v>
      </c>
      <c r="X185" s="53" t="str">
        <f>IF(X186&lt;&gt;"","Jeu","")</f>
        <v>Jeu</v>
      </c>
      <c r="Y185" s="53" t="str">
        <f>IF(Y186&lt;&gt;"","Ven","")</f>
        <v>Ven</v>
      </c>
      <c r="Z185" s="53" t="str">
        <f>IF(Z186&lt;&gt;"","Sam","")</f>
        <v>Sam</v>
      </c>
      <c r="AA185" s="53" t="str">
        <f>IF(AA186&lt;&gt;"","Dim","")</f>
        <v>Dim</v>
      </c>
      <c r="AB185" s="73" t="s">
        <v>32</v>
      </c>
      <c r="AC185" s="55" t="str">
        <f>IF(T185="C1","C2",IF(T185="C2","C3",IF(T185="C3","C4",IF(T185="C4","C1",""))))</f>
        <v>C2</v>
      </c>
      <c r="AD185" s="53" t="str">
        <f>IF(AD186&lt;&gt;"","Lun","")</f>
        <v>Lun</v>
      </c>
      <c r="AE185" s="53" t="str">
        <f>IF(AE186&lt;&gt;"","Mar","")</f>
        <v>Mar</v>
      </c>
      <c r="AF185" s="53" t="str">
        <f>IF(AF186&lt;&gt;"","Mer","")</f>
        <v>Mer</v>
      </c>
      <c r="AG185" s="53" t="str">
        <f>IF(AG186&lt;&gt;"","Jeu","")</f>
        <v>Jeu</v>
      </c>
      <c r="AH185" s="53" t="str">
        <f>IF(AH186&lt;&gt;"","Ven","")</f>
        <v>Ven</v>
      </c>
      <c r="AI185" s="53" t="str">
        <f>IF(AI186&lt;&gt;"","Sam","")</f>
        <v>Sam</v>
      </c>
      <c r="AJ185" s="53" t="str">
        <f>IF(AJ186&lt;&gt;"","Dim","")</f>
        <v>Dim</v>
      </c>
      <c r="AK185" s="73" t="s">
        <v>32</v>
      </c>
      <c r="AL185" s="55" t="str">
        <f>IF(AC185="C1","C2",IF(AC185="C2","C3",IF(AC185="C3","C4",IF(AC185="C4","C1",""))))</f>
        <v>C3</v>
      </c>
      <c r="AM185" s="53" t="str">
        <f>IF(AM186&lt;&gt;"","Lun","")</f>
        <v>Lun</v>
      </c>
      <c r="AN185" s="53" t="str">
        <f>IF(AN186&lt;&gt;"","Mar","")</f>
        <v>Mar</v>
      </c>
      <c r="AO185" s="53" t="str">
        <f>IF(AO186&lt;&gt;"","Mer","")</f>
        <v>Mer</v>
      </c>
      <c r="AP185" s="53" t="str">
        <f>IF(AP186&lt;&gt;"","Jeu","")</f>
        <v/>
      </c>
      <c r="AQ185" s="53" t="str">
        <f>IF(AQ186&lt;&gt;"","Ven","")</f>
        <v/>
      </c>
      <c r="AR185" s="53" t="str">
        <f>IF(AR186&lt;&gt;"","Sam","")</f>
        <v/>
      </c>
      <c r="AS185" s="53" t="str">
        <f>IF(AS186&lt;&gt;"","Dim","")</f>
        <v/>
      </c>
      <c r="AT185" s="73" t="s">
        <v>32</v>
      </c>
      <c r="AU185" s="55" t="str">
        <f>IF(AV185&lt;&gt;"",IF(AL185="C1","C2",IF(AL185="C2","C3",IF(AL185="C3","C4",IF(AL185="C4","C1","")))),"")</f>
        <v/>
      </c>
      <c r="AV185" s="53" t="str">
        <f>IF(AV186&lt;&gt;"","Lun","")</f>
        <v/>
      </c>
      <c r="AW185" s="53" t="str">
        <f>IF(AW186&lt;&gt;"","Mar","")</f>
        <v/>
      </c>
      <c r="AX185" s="73" t="s">
        <v>32</v>
      </c>
      <c r="AY185" s="73" t="s">
        <v>35</v>
      </c>
      <c r="AZ185" s="74">
        <f>AY192+AY193+AY194</f>
        <v>10</v>
      </c>
      <c r="BA185" s="74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54"/>
      <c r="C186" s="54" t="str">
        <f>IF(DAY(Nov_Dim1)=1,"",IF(AND(YEAR(Nov_Dim1+1)=Année_Calendaire,MONTH(Nov_Dim1+1)=11),Nov_Dim1+1,""))</f>
        <v/>
      </c>
      <c r="D186" s="54">
        <f>IF(DAY(Nov_Dim1)=1,"",IF(AND(YEAR(Nov_Dim1+2)=Année_Calendaire,MONTH(Nov_Dim1+2)=11),Nov_Dim1+2,""))</f>
        <v>42675</v>
      </c>
      <c r="E186" s="54">
        <f>IF(DAY(Nov_Dim1)=1,"",IF(AND(YEAR(Nov_Dim1+3)=Année_Calendaire,MONTH(Nov_Dim1+3)=11),Nov_Dim1+3,""))</f>
        <v>42676</v>
      </c>
      <c r="F186" s="54">
        <f>IF(DAY(Nov_Dim1)=1,"",IF(AND(YEAR(Nov_Dim1+4)=Année_Calendaire,MONTH(Nov_Dim1+4)=11),Nov_Dim1+4,""))</f>
        <v>42677</v>
      </c>
      <c r="G186" s="54">
        <f>IF(DAY(Nov_Dim1)=1,"",IF(AND(YEAR(Nov_Dim1+5)=Année_Calendaire,MONTH(Nov_Dim1+5)=11),Nov_Dim1+5,""))</f>
        <v>42678</v>
      </c>
      <c r="H186" s="54">
        <f>IF(DAY(Nov_Dim1)=1,"",IF(AND(YEAR(Nov_Dim1+6)=Année_Calendaire,MONTH(Nov_Dim1+6)=11),Nov_Dim1+6,""))</f>
        <v>42679</v>
      </c>
      <c r="I186" s="54">
        <f>IF(DAY(Nov_Dim1)=1,IF(AND(YEAR(Nov_Dim1)=Année_Calendaire,MONTH(Nov_Dim1)=11),Nov_Dim1,""),IF(AND(YEAR(Nov_Dim1+7)=Année_Calendaire,MONTH(Nov_Dim1+7)=11),Nov_Dim1+7,""))</f>
        <v>42680</v>
      </c>
      <c r="J186" s="73"/>
      <c r="K186" s="54"/>
      <c r="L186" s="54">
        <f>IF(DAY(Nov_Dim1)=1,IF(AND(YEAR(Nov_Dim1+1)=Année_Calendaire,MONTH(Nov_Dim1+1)=11),Nov_Dim1+1,""),IF(AND(YEAR(Nov_Dim1+8)=Année_Calendaire,MONTH(Nov_Dim1+8)=11),Nov_Dim1+8,""))</f>
        <v>42681</v>
      </c>
      <c r="M186" s="54">
        <f>IF(DAY(Nov_Dim1)=1,IF(AND(YEAR(Nov_Dim1+2)=Année_Calendaire,MONTH(Nov_Dim1+2)=11),Nov_Dim1+2,""),IF(AND(YEAR(Nov_Dim1+9)=Année_Calendaire,MONTH(Nov_Dim1+9)=11),Nov_Dim1+9,""))</f>
        <v>42682</v>
      </c>
      <c r="N186" s="54">
        <f>IF(DAY(Nov_Dim1)=1,IF(AND(YEAR(Nov_Dim1+3)=Année_Calendaire,MONTH(Nov_Dim1+3)=11),Nov_Dim1+3,""),IF(AND(YEAR(Nov_Dim1+10)=Année_Calendaire,MONTH(Nov_Dim1+10)=11),Nov_Dim1+10,""))</f>
        <v>42683</v>
      </c>
      <c r="O186" s="54">
        <f>IF(DAY(Nov_Dim1)=1,IF(AND(YEAR(Nov_Dim1+4)=Année_Calendaire,MONTH(Nov_Dim1+4)=11),Nov_Dim1+4,""),IF(AND(YEAR(Nov_Dim1+11)=Année_Calendaire,MONTH(Nov_Dim1+11)=11),Nov_Dim1+11,""))</f>
        <v>42684</v>
      </c>
      <c r="P186" s="54">
        <f>IF(DAY(Nov_Dim1)=1,IF(AND(YEAR(Nov_Dim1+5)=Année_Calendaire,MONTH(Nov_Dim1+5)=11),Nov_Dim1+5,""),IF(AND(YEAR(Nov_Dim1+12)=Année_Calendaire,MONTH(Nov_Dim1+12)=11),Nov_Dim1+12,""))</f>
        <v>42685</v>
      </c>
      <c r="Q186" s="54">
        <f>IF(DAY(Nov_Dim1)=1,IF(AND(YEAR(Nov_Dim1+6)=Année_Calendaire,MONTH(Nov_Dim1+6)=11),Nov_Dim1+6,""),IF(AND(YEAR(Nov_Dim1+13)=Année_Calendaire,MONTH(Nov_Dim1+13)=11),Nov_Dim1+13,""))</f>
        <v>42686</v>
      </c>
      <c r="R186" s="54">
        <f>IF(DAY(Nov_Dim1)=1,IF(AND(YEAR(Nov_Dim1+7)=Année_Calendaire,MONTH(Nov_Dim1+7)=11),Nov_Dim1+7,""),IF(AND(YEAR(Nov_Dim1+14)=Année_Calendaire,MONTH(Nov_Dim1+14)=11),Nov_Dim1+14,""))</f>
        <v>42687</v>
      </c>
      <c r="S186" s="73"/>
      <c r="T186" s="54"/>
      <c r="U186" s="54">
        <f>IF(DAY(Nov_Dim1)=1,IF(AND(YEAR(Nov_Dim1+8)=Année_Calendaire,MONTH(Nov_Dim1+8)=11),Nov_Dim1+8,""),IF(AND(YEAR(Nov_Dim1+15)=Année_Calendaire,MONTH(Nov_Dim1+15)=11),Nov_Dim1+15,""))</f>
        <v>42688</v>
      </c>
      <c r="V186" s="54">
        <f>IF(DAY(Nov_Dim1)=1,IF(AND(YEAR(Nov_Dim1+9)=Année_Calendaire,MONTH(Nov_Dim1+9)=11),Nov_Dim1+9,""),IF(AND(YEAR(Nov_Dim1+16)=Année_Calendaire,MONTH(Nov_Dim1+16)=11),Nov_Dim1+16,""))</f>
        <v>42689</v>
      </c>
      <c r="W186" s="54">
        <f>IF(DAY(Nov_Dim1)=1,IF(AND(YEAR(Nov_Dim1+10)=Année_Calendaire,MONTH(Nov_Dim1+10)=11),Nov_Dim1+10,""),IF(AND(YEAR(Nov_Dim1+17)=Année_Calendaire,MONTH(Nov_Dim1+17)=11),Nov_Dim1+17,""))</f>
        <v>42690</v>
      </c>
      <c r="X186" s="54">
        <f>IF(DAY(Nov_Dim1)=1,IF(AND(YEAR(Nov_Dim1+11)=Année_Calendaire,MONTH(Nov_Dim1+11)=11),Nov_Dim1+11,""),IF(AND(YEAR(Nov_Dim1+18)=Année_Calendaire,MONTH(Nov_Dim1+18)=11),Nov_Dim1+18,""))</f>
        <v>42691</v>
      </c>
      <c r="Y186" s="54">
        <f>IF(DAY(Nov_Dim1)=1,IF(AND(YEAR(Nov_Dim1+12)=Année_Calendaire,MONTH(Nov_Dim1+12)=11),Nov_Dim1+12,""),IF(AND(YEAR(Nov_Dim1+19)=Année_Calendaire,MONTH(Nov_Dim1+19)=11),Nov_Dim1+19,""))</f>
        <v>42692</v>
      </c>
      <c r="Z186" s="54">
        <f>IF(DAY(Nov_Dim1)=1,IF(AND(YEAR(Nov_Dim1+13)=Année_Calendaire,MONTH(Nov_Dim1+13)=11),Nov_Dim1+13,""),IF(AND(YEAR(Nov_Dim1+20)=Année_Calendaire,MONTH(Nov_Dim1+20)=11),Nov_Dim1+20,""))</f>
        <v>42693</v>
      </c>
      <c r="AA186" s="54">
        <f>IF(DAY(Nov_Dim1)=1,IF(AND(YEAR(Nov_Dim1+14)=Année_Calendaire,MONTH(Nov_Dim1+14)=11),Nov_Dim1+14,""),IF(AND(YEAR(Nov_Dim1+21)=Année_Calendaire,MONTH(Nov_Dim1+21)=11),Nov_Dim1+21,""))</f>
        <v>42694</v>
      </c>
      <c r="AB186" s="73"/>
      <c r="AC186" s="54"/>
      <c r="AD186" s="54">
        <f>IF(DAY(Nov_Dim1)=1,IF(AND(YEAR(Nov_Dim1+15)=Année_Calendaire,MONTH(Nov_Dim1+15)=11),Nov_Dim1+15,""),IF(AND(YEAR(Nov_Dim1+22)=Année_Calendaire,MONTH(Nov_Dim1+22)=11),Nov_Dim1+22,""))</f>
        <v>42695</v>
      </c>
      <c r="AE186" s="54">
        <f>IF(DAY(Nov_Dim1)=1,IF(AND(YEAR(Nov_Dim1+16)=Année_Calendaire,MONTH(Nov_Dim1+16)=11),Nov_Dim1+16,""),IF(AND(YEAR(Nov_Dim1+23)=Année_Calendaire,MONTH(Nov_Dim1+23)=11),Nov_Dim1+23,""))</f>
        <v>42696</v>
      </c>
      <c r="AF186" s="54">
        <f>IF(DAY(Nov_Dim1)=1,IF(AND(YEAR(Nov_Dim1+17)=Année_Calendaire,MONTH(Nov_Dim1+17)=11),Nov_Dim1+17,""),IF(AND(YEAR(Nov_Dim1+24)=Année_Calendaire,MONTH(Nov_Dim1+24)=11),Nov_Dim1+24,""))</f>
        <v>42697</v>
      </c>
      <c r="AG186" s="54">
        <f>IF(DAY(Nov_Dim1)=1,IF(AND(YEAR(Nov_Dim1+18)=Année_Calendaire,MONTH(Nov_Dim1+18)=11),Nov_Dim1+18,""),IF(AND(YEAR(Nov_Dim1+25)=Année_Calendaire,MONTH(Nov_Dim1+25)=11),Nov_Dim1+25,""))</f>
        <v>42698</v>
      </c>
      <c r="AH186" s="54">
        <f>IF(DAY(Nov_Dim1)=1,IF(AND(YEAR(Nov_Dim1+19)=Année_Calendaire,MONTH(Nov_Dim1+19)=11),Nov_Dim1+19,""),IF(AND(YEAR(Nov_Dim1+26)=Année_Calendaire,MONTH(Nov_Dim1+26)=11),Nov_Dim1+26,""))</f>
        <v>42699</v>
      </c>
      <c r="AI186" s="54">
        <f>IF(DAY(Nov_Dim1)=1,IF(AND(YEAR(Nov_Dim1+20)=Année_Calendaire,MONTH(Nov_Dim1+20)=11),Nov_Dim1+20,""),IF(AND(YEAR(Nov_Dim1+27)=Année_Calendaire,MONTH(Nov_Dim1+27)=11),Nov_Dim1+27,""))</f>
        <v>42700</v>
      </c>
      <c r="AJ186" s="54">
        <f>IF(DAY(Nov_Dim1)=1,IF(AND(YEAR(Nov_Dim1+21)=Année_Calendaire,MONTH(Nov_Dim1+21)=11),Nov_Dim1+21,""),IF(AND(YEAR(Nov_Dim1+28)=Année_Calendaire,MONTH(Nov_Dim1+28)=11),Nov_Dim1+28,""))</f>
        <v>42701</v>
      </c>
      <c r="AK186" s="73"/>
      <c r="AL186" s="54"/>
      <c r="AM186" s="54">
        <f>IF(DAY(Nov_Dim1)=1,IF(AND(YEAR(Nov_Dim1+22)=Année_Calendaire,MONTH(Nov_Dim1+22)=11),Nov_Dim1+22,""),IF(AND(YEAR(Nov_Dim1+29)=Année_Calendaire,MONTH(Nov_Dim1+29)=11),Nov_Dim1+29,""))</f>
        <v>42702</v>
      </c>
      <c r="AN186" s="54">
        <f>IF(DAY(Nov_Dim1)=1,IF(AND(YEAR(Nov_Dim1+23)=Année_Calendaire,MONTH(Nov_Dim1+23)=11),Nov_Dim1+23,""),IF(AND(YEAR(Nov_Dim1+30)=Année_Calendaire,MONTH(Nov_Dim1+30)=11),Nov_Dim1+30,""))</f>
        <v>42703</v>
      </c>
      <c r="AO186" s="54">
        <f>IF(DAY(Nov_Dim1)=1,IF(AND(YEAR(Nov_Dim1+24)=Année_Calendaire,MONTH(Nov_Dim1+24)=11),Nov_Dim1+24,""),IF(AND(YEAR(Nov_Dim1+31)=Année_Calendaire,MONTH(Nov_Dim1+31)=11),Nov_Dim1+31,""))</f>
        <v>42704</v>
      </c>
      <c r="AP186" s="54" t="str">
        <f>IF(DAY(Nov_Dim1)=1,IF(AND(YEAR(Nov_Dim1+25)=Année_Calendaire,MONTH(Nov_Dim1+25)=11),Nov_Dim1+25,""),IF(AND(YEAR(Nov_Dim1+32)=Année_Calendaire,MONTH(Nov_Dim1+32)=11),Nov_Dim1+32,""))</f>
        <v/>
      </c>
      <c r="AQ186" s="54" t="str">
        <f>IF(DAY(Nov_Dim1)=1,IF(AND(YEAR(Nov_Dim1+26)=Année_Calendaire,MONTH(Nov_Dim1+26)=11),Nov_Dim1+26,""),IF(AND(YEAR(Nov_Dim1+33)=Année_Calendaire,MONTH(Nov_Dim1+33)=11),Nov_Dim1+33,""))</f>
        <v/>
      </c>
      <c r="AR186" s="54" t="str">
        <f>IF(DAY(Nov_Dim1)=1,IF(AND(YEAR(Nov_Dim1+27)=Année_Calendaire,MONTH(Nov_Dim1+27)=11),Nov_Dim1+27,""),IF(AND(YEAR(Nov_Dim1+34)=Année_Calendaire,MONTH(Nov_Dim1+34)=11),Nov_Dim1+34,""))</f>
        <v/>
      </c>
      <c r="AS186" s="54" t="str">
        <f>IF(DAY(Nov_Dim1)=1,IF(AND(YEAR(Nov_Dim1+28)=Année_Calendaire,MONTH(Nov_Dim1+28)=11),Nov_Dim1+28,""),IF(AND(YEAR(Nov_Dim1+35)=Année_Calendaire,MONTH(Nov_Dim1+35)=11),Nov_Dim1+35,""))</f>
        <v/>
      </c>
      <c r="AT186" s="73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73"/>
      <c r="AY186" s="73"/>
      <c r="AZ186" s="74"/>
      <c r="BA186" s="74"/>
      <c r="BB186" s="32"/>
      <c r="BC186" s="32"/>
      <c r="BD186" s="32"/>
      <c r="BE186" s="32"/>
      <c r="BF186" s="24"/>
    </row>
    <row r="187" spans="1:59" s="5" customFormat="1" ht="15" customHeight="1" x14ac:dyDescent="0.25">
      <c r="A187" s="48" t="s">
        <v>2</v>
      </c>
      <c r="B187" s="48"/>
      <c r="C187" s="49" t="str">
        <f>IF(C186="","",IFERROR(VLOOKUP(B185,DATA!$A:$H,2,TRUE),0))</f>
        <v/>
      </c>
      <c r="D187" s="49">
        <f>IF(D186="","",IFERROR(VLOOKUP(B185,DATA!$A:$H,3,TRUE),0))</f>
        <v>0</v>
      </c>
      <c r="E187" s="49">
        <f>IF(E186="","",IFERROR(VLOOKUP(B185,DATA!$A:$H,4,TRUE),0))</f>
        <v>0</v>
      </c>
      <c r="F187" s="49" t="str">
        <f>IF(F186="","",IFERROR(VLOOKUP(B185,DATA!$A:$H,5,TRUE),0))</f>
        <v>matin</v>
      </c>
      <c r="G187" s="49" t="str">
        <f>IF(G186="","",IFERROR(VLOOKUP(B185,DATA!$A:$H,6,TRUE),0))</f>
        <v>matin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am</v>
      </c>
      <c r="M187" s="49" t="str">
        <f>IF(M186="","",IFERROR(VLOOKUP(K185,DATA!$A:$H,3,TRUE),0))</f>
        <v>am</v>
      </c>
      <c r="N187" s="49" t="str">
        <f>IF(N186="","",IFERROR(VLOOKUP(K185,DATA!$A:$H,4,TRUE),0))</f>
        <v>am</v>
      </c>
      <c r="O187" s="49" t="str">
        <f>IF(O186="","",IFERROR(VLOOKUP(K185,DATA!$A:$H,5,TRUE),0))</f>
        <v>am</v>
      </c>
      <c r="P187" s="49" t="str">
        <f>IF(P186="","",IFERROR(VLOOKUP(K185,DATA!$A:$H,6,TRUE),0))</f>
        <v>am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matin</v>
      </c>
      <c r="V187" s="49" t="str">
        <f>IF(V186="","",IFERROR(VLOOKUP(T185,DATA!$A:$H,3,TRUE),0))</f>
        <v>matin</v>
      </c>
      <c r="W187" s="49" t="str">
        <f>IF(W186="","",IFERROR(VLOOKUP(T185,DATA!$A:$H,4,TRUE),0))</f>
        <v>matin</v>
      </c>
      <c r="X187" s="49">
        <f>IF(X186="","",IFERROR(VLOOKUP(T185,DATA!$A:$H,5,TRUE),0))</f>
        <v>0</v>
      </c>
      <c r="Y187" s="49">
        <f>IF(Y186="","",IFERROR(VLOOKUP(T185,DATA!$A:$H,6,TRUE),0))</f>
        <v>0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nuit</v>
      </c>
      <c r="AE187" s="49" t="str">
        <f>IF(AE186="","",IFERROR(VLOOKUP(AC185,DATA!$A:$H,3,TRUE),0))</f>
        <v>nuit</v>
      </c>
      <c r="AF187" s="49" t="str">
        <f>IF(AF186="","",IFERROR(VLOOKUP(AC185,DATA!$A:$H,4,TRUE),0))</f>
        <v>nuit</v>
      </c>
      <c r="AG187" s="49" t="str">
        <f>IF(AG186="","",IFERROR(VLOOKUP(AC185,DATA!$A:$H,5,TRUE),0))</f>
        <v>nuit</v>
      </c>
      <c r="AH187" s="49" t="str">
        <f>IF(AH186="","",IFERROR(VLOOKUP(AC185,DATA!$A:$H,6,TRUE),0))</f>
        <v>nuit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matin</v>
      </c>
      <c r="AN187" s="49">
        <f>IF(AN186="","",IFERROR(VLOOKUP(AL185,DATA!$A:$H,3,TRUE),0))</f>
        <v>0</v>
      </c>
      <c r="AO187" s="49">
        <f>IF(AO186="","",IFERROR(VLOOKUP(AL185,DATA!$A:$H,4,TRUE),0))</f>
        <v>0</v>
      </c>
      <c r="AP187" s="49" t="str">
        <f>IF(AP186="","",IFERROR(VLOOKUP(AL185,DATA!$A:$H,5,TRUE),0))</f>
        <v/>
      </c>
      <c r="AQ187" s="49" t="str">
        <f>IF(AQ186="","",IFERROR(VLOOKUP(AL185,DATA!$A:$H,6,TRUE),0))</f>
        <v/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1</v>
      </c>
      <c r="G188" s="52">
        <f t="shared" si="413"/>
        <v>1</v>
      </c>
      <c r="H188" s="52">
        <f t="shared" si="413"/>
        <v>0</v>
      </c>
      <c r="I188" s="52">
        <f t="shared" si="413"/>
        <v>0</v>
      </c>
      <c r="J188" s="52">
        <f>SUM(C188:I188)</f>
        <v>2</v>
      </c>
      <c r="K188" s="51"/>
      <c r="L188" s="52">
        <f t="shared" ref="L188:R188" si="414">IF(L187="Matin",1,IF(L187="AM",1,0))</f>
        <v>1</v>
      </c>
      <c r="M188" s="52">
        <f t="shared" si="414"/>
        <v>1</v>
      </c>
      <c r="N188" s="52">
        <f t="shared" si="414"/>
        <v>1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5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0</v>
      </c>
      <c r="Y188" s="52">
        <f t="shared" si="415"/>
        <v>0</v>
      </c>
      <c r="Z188" s="52">
        <f t="shared" si="415"/>
        <v>0</v>
      </c>
      <c r="AA188" s="52">
        <f t="shared" si="415"/>
        <v>0</v>
      </c>
      <c r="AB188" s="52">
        <f>SUM(U188:AA188)</f>
        <v>3</v>
      </c>
      <c r="AC188" s="51"/>
      <c r="AD188" s="52">
        <f t="shared" ref="AD188:AJ188" si="416">IF(AD187="Matin",1,IF(AD187="AM",1,0))</f>
        <v>0</v>
      </c>
      <c r="AE188" s="52">
        <f t="shared" si="416"/>
        <v>0</v>
      </c>
      <c r="AF188" s="52">
        <f t="shared" si="416"/>
        <v>0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0</v>
      </c>
      <c r="AL188" s="51"/>
      <c r="AM188" s="52">
        <f t="shared" ref="AM188:AS188" si="417">IF(AM187="Matin",1,IF(AM187="AM",1,0))</f>
        <v>1</v>
      </c>
      <c r="AN188" s="52">
        <f t="shared" si="417"/>
        <v>0</v>
      </c>
      <c r="AO188" s="52">
        <f t="shared" si="417"/>
        <v>0</v>
      </c>
      <c r="AP188" s="52">
        <f t="shared" si="417"/>
        <v>0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1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0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2</v>
      </c>
      <c r="K189" s="48"/>
      <c r="L189" s="49">
        <f>IF(L190&gt;=1,1,0)</f>
        <v>1</v>
      </c>
      <c r="M189" s="49">
        <f t="shared" ref="M189:R189" si="422">IF(M190&gt;=1,1,0)</f>
        <v>1</v>
      </c>
      <c r="N189" s="49">
        <f t="shared" si="422"/>
        <v>1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5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0</v>
      </c>
      <c r="Y189" s="49">
        <f t="shared" si="424"/>
        <v>0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3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1</v>
      </c>
      <c r="AH189" s="49">
        <f t="shared" si="426"/>
        <v>1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5</v>
      </c>
      <c r="AL189" s="48"/>
      <c r="AM189" s="49">
        <f>IF(AM190&gt;=1,1,0)</f>
        <v>1</v>
      </c>
      <c r="AN189" s="49">
        <f t="shared" ref="AN189:AS189" si="428">IF(AN190&gt;=1,1,0)</f>
        <v>0</v>
      </c>
      <c r="AO189" s="49">
        <f t="shared" si="428"/>
        <v>0</v>
      </c>
      <c r="AP189" s="49">
        <f t="shared" si="428"/>
        <v>0</v>
      </c>
      <c r="AQ189" s="49">
        <f t="shared" si="428"/>
        <v>0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1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16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0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16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8</v>
      </c>
      <c r="N190" s="52">
        <f t="shared" si="433"/>
        <v>8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40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0</v>
      </c>
      <c r="Y190" s="52">
        <f t="shared" si="434"/>
        <v>0</v>
      </c>
      <c r="Z190" s="52">
        <f t="shared" si="434"/>
        <v>0</v>
      </c>
      <c r="AA190" s="52">
        <f t="shared" si="434"/>
        <v>0</v>
      </c>
      <c r="AB190" s="52">
        <f t="shared" si="425"/>
        <v>24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8</v>
      </c>
      <c r="AH190" s="52">
        <f t="shared" si="435"/>
        <v>8</v>
      </c>
      <c r="AI190" s="52">
        <f t="shared" si="435"/>
        <v>0</v>
      </c>
      <c r="AJ190" s="52">
        <f t="shared" si="435"/>
        <v>0</v>
      </c>
      <c r="AK190" s="52">
        <f t="shared" si="427"/>
        <v>40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0</v>
      </c>
      <c r="AO190" s="52">
        <f t="shared" si="436"/>
        <v>0</v>
      </c>
      <c r="AP190" s="52">
        <f t="shared" si="436"/>
        <v>0</v>
      </c>
      <c r="AQ190" s="52">
        <f t="shared" si="436"/>
        <v>0</v>
      </c>
      <c r="AR190" s="52">
        <f t="shared" si="436"/>
        <v>0</v>
      </c>
      <c r="AS190" s="52">
        <f t="shared" si="436"/>
        <v>0</v>
      </c>
      <c r="AT190" s="52">
        <f t="shared" si="429"/>
        <v>8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128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48" t="s">
        <v>20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48" t="s">
        <v>44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0.16</v>
      </c>
      <c r="AE199" s="49">
        <f>IF(AE187="nuit",AE190*0.02,0)</f>
        <v>0.16</v>
      </c>
      <c r="AF199" s="49">
        <f t="shared" ref="AF199:AJ199" si="447">IF(AF187="nuit",AF190*0.02,0)</f>
        <v>0.16</v>
      </c>
      <c r="AG199" s="49">
        <f t="shared" si="447"/>
        <v>0.16</v>
      </c>
      <c r="AH199" s="49">
        <f>IF(AH187="nuit",AH190*0.02,0)</f>
        <v>0.16</v>
      </c>
      <c r="AI199" s="49">
        <f t="shared" si="447"/>
        <v>0</v>
      </c>
      <c r="AJ199" s="49">
        <f t="shared" si="447"/>
        <v>0</v>
      </c>
      <c r="AK199" s="52">
        <f t="shared" si="427"/>
        <v>0.8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8">IF(AO187="nuit",AO190*0.02,0)</f>
        <v>0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51" t="s">
        <v>31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72">
        <f>Année_Calendaire</f>
        <v>2016</v>
      </c>
      <c r="I202" s="72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30</v>
      </c>
      <c r="V202" s="19"/>
      <c r="W202" s="19"/>
      <c r="X202" s="19"/>
      <c r="Y202" s="19"/>
      <c r="Z202" s="72">
        <f>Année_Calendaire</f>
        <v>2016</v>
      </c>
      <c r="AA202" s="72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30</v>
      </c>
      <c r="AN202" s="19"/>
      <c r="AO202" s="19"/>
      <c r="AP202" s="19"/>
      <c r="AQ202" s="19"/>
      <c r="AR202" s="72">
        <f>Année_Calendaire</f>
        <v>2016</v>
      </c>
      <c r="AS202" s="72"/>
      <c r="AT202" s="37"/>
      <c r="AU202" s="44"/>
      <c r="AV202" s="26"/>
      <c r="AW202" s="26"/>
      <c r="AX202" s="37"/>
    </row>
    <row r="203" spans="1:59" s="23" customFormat="1" ht="29.25" customHeight="1" x14ac:dyDescent="0.25">
      <c r="A203" s="36"/>
      <c r="B203" s="55" t="str">
        <f>IF(AU185&lt;&gt;"",IF(AU185="C1","C2",IF(AU185="C2","C3",IF(AU185="C3","C4",IF(AU185="C4","C1","")))),IF(AL185="C1","C2",IF(AL185="C2","C3",IF(AL185="C3","C4",IF(AL185="C4","C1","")))))</f>
        <v>C4</v>
      </c>
      <c r="C203" s="53" t="s">
        <v>13</v>
      </c>
      <c r="D203" s="53" t="s">
        <v>14</v>
      </c>
      <c r="E203" s="53" t="s">
        <v>15</v>
      </c>
      <c r="F203" s="53" t="s">
        <v>16</v>
      </c>
      <c r="G203" s="53" t="s">
        <v>17</v>
      </c>
      <c r="H203" s="53" t="s">
        <v>18</v>
      </c>
      <c r="I203" s="53" t="s">
        <v>19</v>
      </c>
      <c r="J203" s="73" t="s">
        <v>32</v>
      </c>
      <c r="K203" s="55" t="str">
        <f>IF(B203="C1","C2",IF(B203="C2","C3",IF(B203="C3","C4",IF(B203="C4","C1",""))))</f>
        <v>C1</v>
      </c>
      <c r="L203" s="53" t="str">
        <f>IF(L204&lt;&gt;"","Lun","")</f>
        <v>Lun</v>
      </c>
      <c r="M203" s="53" t="str">
        <f>IF(M204&lt;&gt;"","Mar","")</f>
        <v>Mar</v>
      </c>
      <c r="N203" s="53" t="str">
        <f>IF(N204&lt;&gt;"","Mer","")</f>
        <v>Mer</v>
      </c>
      <c r="O203" s="53" t="str">
        <f>IF(O204&lt;&gt;"","Jeu","")</f>
        <v>Jeu</v>
      </c>
      <c r="P203" s="53" t="str">
        <f>IF(P204&lt;&gt;"","Ven","")</f>
        <v>Ven</v>
      </c>
      <c r="Q203" s="53" t="str">
        <f>IF(Q204&lt;&gt;"","Sam","")</f>
        <v>Sam</v>
      </c>
      <c r="R203" s="53" t="str">
        <f>IF(R204&lt;&gt;"","Dim","")</f>
        <v>Dim</v>
      </c>
      <c r="S203" s="73" t="s">
        <v>32</v>
      </c>
      <c r="T203" s="55" t="str">
        <f>IF(K203="C1","C2",IF(K203="C2","C3",IF(K203="C3","C4",IF(K203="C4","C1",""))))</f>
        <v>C2</v>
      </c>
      <c r="U203" s="53" t="str">
        <f>IF(U204&lt;&gt;"","Lun","")</f>
        <v>Lun</v>
      </c>
      <c r="V203" s="53" t="str">
        <f>IF(V204&lt;&gt;"","Mar","")</f>
        <v>Mar</v>
      </c>
      <c r="W203" s="53" t="str">
        <f>IF(W204&lt;&gt;"","Mer","")</f>
        <v>Mer</v>
      </c>
      <c r="X203" s="53" t="str">
        <f>IF(X204&lt;&gt;"","Jeu","")</f>
        <v>Jeu</v>
      </c>
      <c r="Y203" s="53" t="str">
        <f>IF(Y204&lt;&gt;"","Ven","")</f>
        <v>Ven</v>
      </c>
      <c r="Z203" s="53" t="str">
        <f>IF(Z204&lt;&gt;"","Sam","")</f>
        <v>Sam</v>
      </c>
      <c r="AA203" s="53" t="str">
        <f>IF(AA204&lt;&gt;"","Dim","")</f>
        <v>Dim</v>
      </c>
      <c r="AB203" s="73" t="s">
        <v>32</v>
      </c>
      <c r="AC203" s="55" t="str">
        <f>IF(T203="C1","C2",IF(T203="C2","C3",IF(T203="C3","C4",IF(T203="C4","C1",""))))</f>
        <v>C3</v>
      </c>
      <c r="AD203" s="53" t="str">
        <f>IF(AD204&lt;&gt;"","Lun","")</f>
        <v>Lun</v>
      </c>
      <c r="AE203" s="53" t="str">
        <f>IF(AE204&lt;&gt;"","Mar","")</f>
        <v>Mar</v>
      </c>
      <c r="AF203" s="53" t="str">
        <f>IF(AF204&lt;&gt;"","Mer","")</f>
        <v>Mer</v>
      </c>
      <c r="AG203" s="53" t="str">
        <f>IF(AG204&lt;&gt;"","Jeu","")</f>
        <v>Jeu</v>
      </c>
      <c r="AH203" s="53" t="str">
        <f>IF(AH204&lt;&gt;"","Ven","")</f>
        <v>Ven</v>
      </c>
      <c r="AI203" s="53" t="str">
        <f>IF(AI204&lt;&gt;"","Sam","")</f>
        <v>Sam</v>
      </c>
      <c r="AJ203" s="53" t="str">
        <f>IF(AJ204&lt;&gt;"","Dim","")</f>
        <v>Dim</v>
      </c>
      <c r="AK203" s="73" t="s">
        <v>32</v>
      </c>
      <c r="AL203" s="55" t="str">
        <f>IF(AC203="C1","C2",IF(AC203="C2","C3",IF(AC203="C3","C4",IF(AC203="C4","C1",""))))</f>
        <v>C4</v>
      </c>
      <c r="AM203" s="53" t="str">
        <f>IF(AM204&lt;&gt;"","Lun","")</f>
        <v>Lun</v>
      </c>
      <c r="AN203" s="53" t="str">
        <f>IF(AN204&lt;&gt;"","Mar","")</f>
        <v>Mar</v>
      </c>
      <c r="AO203" s="53" t="str">
        <f>IF(AO204&lt;&gt;"","Mer","")</f>
        <v>Mer</v>
      </c>
      <c r="AP203" s="53" t="str">
        <f>IF(AP204&lt;&gt;"","Jeu","")</f>
        <v>Jeu</v>
      </c>
      <c r="AQ203" s="53" t="str">
        <f>IF(AQ204&lt;&gt;"","Ven","")</f>
        <v>Ven</v>
      </c>
      <c r="AR203" s="53" t="str">
        <f>IF(AR204&lt;&gt;"","Sam","")</f>
        <v>Sam</v>
      </c>
      <c r="AS203" s="53" t="str">
        <f>IF(AS204&lt;&gt;"","Dim","")</f>
        <v/>
      </c>
      <c r="AT203" s="73" t="s">
        <v>32</v>
      </c>
      <c r="AU203" s="55" t="str">
        <f>IF(AV203&lt;&gt;"",IF(AL203="C1","C2",IF(AL203="C2","C3",IF(AL203="C3","C4",IF(AL203="C4","C1","")))),"")</f>
        <v/>
      </c>
      <c r="AV203" s="53" t="str">
        <f>IF(AV204&lt;&gt;"","Lun","")</f>
        <v/>
      </c>
      <c r="AW203" s="53" t="str">
        <f>IF(AW204&lt;&gt;"","Mar","")</f>
        <v/>
      </c>
      <c r="AX203" s="73" t="s">
        <v>32</v>
      </c>
      <c r="AY203" s="73" t="s">
        <v>35</v>
      </c>
      <c r="AZ203" s="74">
        <f>AY210+AY211+AY212</f>
        <v>10</v>
      </c>
      <c r="BA203" s="74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54"/>
      <c r="C204" s="54" t="str">
        <f>IF(DAY(Déc_Dim1)=1,"",IF(AND(YEAR(Déc_Dim1+1)=Année_Calendaire,MONTH(Déc_Dim1+1)=12),Déc_Dim1+1,""))</f>
        <v/>
      </c>
      <c r="D204" s="54" t="str">
        <f>IF(DAY(Déc_Dim1)=1,"",IF(AND(YEAR(Déc_Dim1+2)=Année_Calendaire,MONTH(Déc_Dim1+2)=12),Déc_Dim1+2,""))</f>
        <v/>
      </c>
      <c r="E204" s="54" t="str">
        <f>IF(DAY(Déc_Dim1)=1,"",IF(AND(YEAR(Déc_Dim1+3)=Année_Calendaire,MONTH(Déc_Dim1+3)=12),Déc_Dim1+3,""))</f>
        <v/>
      </c>
      <c r="F204" s="54">
        <f>IF(DAY(Déc_Dim1)=1,"",IF(AND(YEAR(Déc_Dim1+4)=Année_Calendaire,MONTH(Déc_Dim1+4)=12),Déc_Dim1+4,""))</f>
        <v>42705</v>
      </c>
      <c r="G204" s="54">
        <f>IF(DAY(Déc_Dim1)=1,"",IF(AND(YEAR(Déc_Dim1+5)=Année_Calendaire,MONTH(Déc_Dim1+5)=12),Déc_Dim1+5,""))</f>
        <v>42706</v>
      </c>
      <c r="H204" s="54">
        <f>IF(DAY(Déc_Dim1)=1,"",IF(AND(YEAR(Déc_Dim1+6)=Année_Calendaire,MONTH(Déc_Dim1+6)=12),Déc_Dim1+6,""))</f>
        <v>42707</v>
      </c>
      <c r="I204" s="54">
        <f>IF(DAY(Déc_Dim1)=1,IF(AND(YEAR(Déc_Dim1)=Année_Calendaire,MONTH(Déc_Dim1)=12),Déc_Dim1,""),IF(AND(YEAR(Déc_Dim1+7)=Année_Calendaire,MONTH(Déc_Dim1+7)=12),Déc_Dim1+7,""))</f>
        <v>42708</v>
      </c>
      <c r="J204" s="73"/>
      <c r="K204" s="54"/>
      <c r="L204" s="54">
        <f>IF(DAY(Déc_Dim1)=1,IF(AND(YEAR(Déc_Dim1+1)=Année_Calendaire,MONTH(Déc_Dim1+1)=12),Déc_Dim1+1,""),IF(AND(YEAR(Déc_Dim1+8)=Année_Calendaire,MONTH(Déc_Dim1+8)=12),Déc_Dim1+8,""))</f>
        <v>42709</v>
      </c>
      <c r="M204" s="54">
        <f>IF(DAY(Déc_Dim1)=1,IF(AND(YEAR(Déc_Dim1+2)=Année_Calendaire,MONTH(Déc_Dim1+2)=12),Déc_Dim1+2,""),IF(AND(YEAR(Déc_Dim1+9)=Année_Calendaire,MONTH(Déc_Dim1+9)=12),Déc_Dim1+9,""))</f>
        <v>42710</v>
      </c>
      <c r="N204" s="54">
        <f>IF(DAY(Déc_Dim1)=1,IF(AND(YEAR(Déc_Dim1+3)=Année_Calendaire,MONTH(Déc_Dim1+3)=12),Déc_Dim1+3,""),IF(AND(YEAR(Déc_Dim1+10)=Année_Calendaire,MONTH(Déc_Dim1+10)=12),Déc_Dim1+10,""))</f>
        <v>42711</v>
      </c>
      <c r="O204" s="54">
        <f>IF(DAY(Déc_Dim1)=1,IF(AND(YEAR(Déc_Dim1+4)=Année_Calendaire,MONTH(Déc_Dim1+4)=12),Déc_Dim1+4,""),IF(AND(YEAR(Déc_Dim1+11)=Année_Calendaire,MONTH(Déc_Dim1+11)=12),Déc_Dim1+11,""))</f>
        <v>42712</v>
      </c>
      <c r="P204" s="54">
        <f>IF(DAY(Déc_Dim1)=1,IF(AND(YEAR(Déc_Dim1+5)=Année_Calendaire,MONTH(Déc_Dim1+5)=12),Déc_Dim1+5,""),IF(AND(YEAR(Déc_Dim1+12)=Année_Calendaire,MONTH(Déc_Dim1+12)=12),Déc_Dim1+12,""))</f>
        <v>42713</v>
      </c>
      <c r="Q204" s="54">
        <f>IF(DAY(Déc_Dim1)=1,IF(AND(YEAR(Déc_Dim1+6)=Année_Calendaire,MONTH(Déc_Dim1+6)=12),Déc_Dim1+6,""),IF(AND(YEAR(Déc_Dim1+13)=Année_Calendaire,MONTH(Déc_Dim1+13)=12),Déc_Dim1+13,""))</f>
        <v>42714</v>
      </c>
      <c r="R204" s="54">
        <f>IF(DAY(Déc_Dim1)=1,IF(AND(YEAR(Déc_Dim1+7)=Année_Calendaire,MONTH(Déc_Dim1+7)=12),Déc_Dim1+7,""),IF(AND(YEAR(Déc_Dim1+14)=Année_Calendaire,MONTH(Déc_Dim1+14)=12),Déc_Dim1+14,""))</f>
        <v>42715</v>
      </c>
      <c r="S204" s="73"/>
      <c r="T204" s="54"/>
      <c r="U204" s="54">
        <f>IF(DAY(Déc_Dim1)=1,IF(AND(YEAR(Déc_Dim1+8)=Année_Calendaire,MONTH(Déc_Dim1+8)=12),Déc_Dim1+8,""),IF(AND(YEAR(Déc_Dim1+15)=Année_Calendaire,MONTH(Déc_Dim1+15)=12),Déc_Dim1+15,""))</f>
        <v>42716</v>
      </c>
      <c r="V204" s="54">
        <f>IF(DAY(Déc_Dim1)=1,IF(AND(YEAR(Déc_Dim1+9)=Année_Calendaire,MONTH(Déc_Dim1+9)=12),Déc_Dim1+9,""),IF(AND(YEAR(Déc_Dim1+16)=Année_Calendaire,MONTH(Déc_Dim1+16)=12),Déc_Dim1+16,""))</f>
        <v>42717</v>
      </c>
      <c r="W204" s="54">
        <f>IF(DAY(Déc_Dim1)=1,IF(AND(YEAR(Déc_Dim1+10)=Année_Calendaire,MONTH(Déc_Dim1+10)=12),Déc_Dim1+10,""),IF(AND(YEAR(Déc_Dim1+17)=Année_Calendaire,MONTH(Déc_Dim1+17)=12),Déc_Dim1+17,""))</f>
        <v>42718</v>
      </c>
      <c r="X204" s="54">
        <f>IF(DAY(Déc_Dim1)=1,IF(AND(YEAR(Déc_Dim1+11)=Année_Calendaire,MONTH(Déc_Dim1+11)=12),Déc_Dim1+11,""),IF(AND(YEAR(Déc_Dim1+18)=Année_Calendaire,MONTH(Déc_Dim1+18)=12),Déc_Dim1+18,""))</f>
        <v>42719</v>
      </c>
      <c r="Y204" s="54">
        <f>IF(DAY(Déc_Dim1)=1,IF(AND(YEAR(Déc_Dim1+12)=Année_Calendaire,MONTH(Déc_Dim1+12)=12),Déc_Dim1+12,""),IF(AND(YEAR(Déc_Dim1+19)=Année_Calendaire,MONTH(Déc_Dim1+19)=12),Déc_Dim1+19,""))</f>
        <v>42720</v>
      </c>
      <c r="Z204" s="54">
        <f>IF(DAY(Déc_Dim1)=1,IF(AND(YEAR(Déc_Dim1+13)=Année_Calendaire,MONTH(Déc_Dim1+13)=12),Déc_Dim1+13,""),IF(AND(YEAR(Déc_Dim1+20)=Année_Calendaire,MONTH(Déc_Dim1+20)=12),Déc_Dim1+20,""))</f>
        <v>42721</v>
      </c>
      <c r="AA204" s="54">
        <f>IF(DAY(Déc_Dim1)=1,IF(AND(YEAR(Déc_Dim1+14)=Année_Calendaire,MONTH(Déc_Dim1+14)=12),Déc_Dim1+14,""),IF(AND(YEAR(Déc_Dim1+21)=Année_Calendaire,MONTH(Déc_Dim1+21)=12),Déc_Dim1+21,""))</f>
        <v>42722</v>
      </c>
      <c r="AB204" s="73"/>
      <c r="AC204" s="54"/>
      <c r="AD204" s="54">
        <f>IF(DAY(Déc_Dim1)=1,IF(AND(YEAR(Déc_Dim1+15)=Année_Calendaire,MONTH(Déc_Dim1+15)=12),Déc_Dim1+15,""),IF(AND(YEAR(Déc_Dim1+22)=Année_Calendaire,MONTH(Déc_Dim1+22)=12),Déc_Dim1+22,""))</f>
        <v>42723</v>
      </c>
      <c r="AE204" s="54">
        <f>IF(DAY(Déc_Dim1)=1,IF(AND(YEAR(Déc_Dim1+16)=Année_Calendaire,MONTH(Déc_Dim1+16)=12),Déc_Dim1+16,""),IF(AND(YEAR(Déc_Dim1+23)=Année_Calendaire,MONTH(Déc_Dim1+23)=12),Déc_Dim1+23,""))</f>
        <v>42724</v>
      </c>
      <c r="AF204" s="54">
        <f>IF(DAY(Déc_Dim1)=1,IF(AND(YEAR(Déc_Dim1+17)=Année_Calendaire,MONTH(Déc_Dim1+17)=12),Déc_Dim1+17,""),IF(AND(YEAR(Déc_Dim1+24)=Année_Calendaire,MONTH(Déc_Dim1+24)=12),Déc_Dim1+24,""))</f>
        <v>42725</v>
      </c>
      <c r="AG204" s="54">
        <f>IF(DAY(Déc_Dim1)=1,IF(AND(YEAR(Déc_Dim1+18)=Année_Calendaire,MONTH(Déc_Dim1+18)=12),Déc_Dim1+18,""),IF(AND(YEAR(Déc_Dim1+25)=Année_Calendaire,MONTH(Déc_Dim1+25)=12),Déc_Dim1+25,""))</f>
        <v>42726</v>
      </c>
      <c r="AH204" s="54">
        <f>IF(DAY(Déc_Dim1)=1,IF(AND(YEAR(Déc_Dim1+19)=Année_Calendaire,MONTH(Déc_Dim1+19)=12),Déc_Dim1+19,""),IF(AND(YEAR(Déc_Dim1+26)=Année_Calendaire,MONTH(Déc_Dim1+26)=12),Déc_Dim1+26,""))</f>
        <v>42727</v>
      </c>
      <c r="AI204" s="54">
        <f>IF(DAY(Déc_Dim1)=1,IF(AND(YEAR(Déc_Dim1+20)=Année_Calendaire,MONTH(Déc_Dim1+20)=12),Déc_Dim1+20,""),IF(AND(YEAR(Déc_Dim1+27)=Année_Calendaire,MONTH(Déc_Dim1+27)=12),Déc_Dim1+27,""))</f>
        <v>42728</v>
      </c>
      <c r="AJ204" s="54">
        <f>IF(DAY(Déc_Dim1)=1,IF(AND(YEAR(Déc_Dim1+21)=Année_Calendaire,MONTH(Déc_Dim1+21)=12),Déc_Dim1+21,""),IF(AND(YEAR(Déc_Dim1+28)=Année_Calendaire,MONTH(Déc_Dim1+28)=12),Déc_Dim1+28,""))</f>
        <v>42729</v>
      </c>
      <c r="AK204" s="73"/>
      <c r="AL204" s="54"/>
      <c r="AM204" s="54">
        <f>IF(DAY(Déc_Dim1)=1,IF(AND(YEAR(Déc_Dim1+22)=Année_Calendaire,MONTH(Déc_Dim1+22)=12),Déc_Dim1+22,""),IF(AND(YEAR(Déc_Dim1+29)=Année_Calendaire,MONTH(Déc_Dim1+29)=12),Déc_Dim1+29,""))</f>
        <v>42730</v>
      </c>
      <c r="AN204" s="54">
        <f>IF(DAY(Déc_Dim1)=1,IF(AND(YEAR(Déc_Dim1+23)=Année_Calendaire,MONTH(Déc_Dim1+23)=12),Déc_Dim1+23,""),IF(AND(YEAR(Déc_Dim1+30)=Année_Calendaire,MONTH(Déc_Dim1+30)=12),Déc_Dim1+30,""))</f>
        <v>42731</v>
      </c>
      <c r="AO204" s="54">
        <f>IF(DAY(Déc_Dim1)=1,IF(AND(YEAR(Déc_Dim1+24)=Année_Calendaire,MONTH(Déc_Dim1+24)=12),Déc_Dim1+24,""),IF(AND(YEAR(Déc_Dim1+31)=Année_Calendaire,MONTH(Déc_Dim1+31)=12),Déc_Dim1+31,""))</f>
        <v>42732</v>
      </c>
      <c r="AP204" s="54">
        <f>IF(DAY(Déc_Dim1)=1,IF(AND(YEAR(Déc_Dim1+25)=Année_Calendaire,MONTH(Déc_Dim1+25)=12),Déc_Dim1+25,""),IF(AND(YEAR(Déc_Dim1+32)=Année_Calendaire,MONTH(Déc_Dim1+32)=12),Déc_Dim1+32,""))</f>
        <v>42733</v>
      </c>
      <c r="AQ204" s="54">
        <f>IF(DAY(Déc_Dim1)=1,IF(AND(YEAR(Déc_Dim1+26)=Année_Calendaire,MONTH(Déc_Dim1+26)=12),Déc_Dim1+26,""),IF(AND(YEAR(Déc_Dim1+33)=Année_Calendaire,MONTH(Déc_Dim1+33)=12),Déc_Dim1+33,""))</f>
        <v>42734</v>
      </c>
      <c r="AR204" s="54">
        <f>IF(DAY(Déc_Dim1)=1,IF(AND(YEAR(Déc_Dim1+27)=Année_Calendaire,MONTH(Déc_Dim1+27)=12),Déc_Dim1+27,""),IF(AND(YEAR(Déc_Dim1+34)=Année_Calendaire,MONTH(Déc_Dim1+34)=12),Déc_Dim1+34,""))</f>
        <v>42735</v>
      </c>
      <c r="AS204" s="54" t="str">
        <f>IF(DAY(Déc_Dim1)=1,IF(AND(YEAR(Déc_Dim1+28)=Année_Calendaire,MONTH(Déc_Dim1+28)=12),Déc_Dim1+28,""),IF(AND(YEAR(Déc_Dim1+35)=Année_Calendaire,MONTH(Déc_Dim1+35)=12),Déc_Dim1+35,""))</f>
        <v/>
      </c>
      <c r="AT204" s="73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73"/>
      <c r="AY204" s="73"/>
      <c r="AZ204" s="74"/>
      <c r="BA204" s="74"/>
      <c r="BB204" s="32"/>
      <c r="BC204" s="32"/>
      <c r="BD204" s="32"/>
      <c r="BE204" s="32"/>
      <c r="BF204" s="24"/>
    </row>
    <row r="205" spans="1:59" s="5" customFormat="1" ht="15" customHeight="1" x14ac:dyDescent="0.25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>am</v>
      </c>
      <c r="G205" s="49" t="str">
        <f>IF(G204="","",IFERROR(VLOOKUP(B203,DATA!$A:$H,6,TRUE),0))</f>
        <v>am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matin</v>
      </c>
      <c r="M205" s="49" t="str">
        <f>IF(M204="","",IFERROR(VLOOKUP(K203,DATA!$A:$H,3,TRUE),0))</f>
        <v>matin</v>
      </c>
      <c r="N205" s="49" t="str">
        <f>IF(N204="","",IFERROR(VLOOKUP(K203,DATA!$A:$H,4,TRUE),0))</f>
        <v>matin</v>
      </c>
      <c r="O205" s="49">
        <f>IF(O204="","",IFERROR(VLOOKUP(K203,DATA!$A:$H,5,TRUE),0))</f>
        <v>0</v>
      </c>
      <c r="P205" s="49">
        <f>IF(P204="","",IFERROR(VLOOKUP(K203,DATA!$A:$H,6,TRUE),0))</f>
        <v>0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nuit</v>
      </c>
      <c r="V205" s="49" t="str">
        <f>IF(V204="","",IFERROR(VLOOKUP(T203,DATA!$A:$H,3,TRUE),0))</f>
        <v>nuit</v>
      </c>
      <c r="W205" s="49" t="str">
        <f>IF(W204="","",IFERROR(VLOOKUP(T203,DATA!$A:$H,4,TRUE),0))</f>
        <v>nuit</v>
      </c>
      <c r="X205" s="49" t="str">
        <f>IF(X204="","",IFERROR(VLOOKUP(T203,DATA!$A:$H,5,TRUE),0))</f>
        <v>nuit</v>
      </c>
      <c r="Y205" s="49" t="str">
        <f>IF(Y204="","",IFERROR(VLOOKUP(T203,DATA!$A:$H,6,TRUE),0))</f>
        <v>nuit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matin</v>
      </c>
      <c r="AE205" s="49">
        <f>IF(AE204="","",IFERROR(VLOOKUP(AC203,DATA!$A:$H,3,TRUE),0))</f>
        <v>0</v>
      </c>
      <c r="AF205" s="49">
        <f>IF(AF204="","",IFERROR(VLOOKUP(AC203,DATA!$A:$H,4,TRUE),0))</f>
        <v>0</v>
      </c>
      <c r="AG205" s="49" t="str">
        <f>IF(AG204="","",IFERROR(VLOOKUP(AC203,DATA!$A:$H,5,TRUE),0))</f>
        <v>matin</v>
      </c>
      <c r="AH205" s="49" t="str">
        <f>IF(AH204="","",IFERROR(VLOOKUP(AC203,DATA!$A:$H,6,TRUE),0))</f>
        <v>matin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am</v>
      </c>
      <c r="AN205" s="49" t="str">
        <f>IF(AN204="","",IFERROR(VLOOKUP(AL203,DATA!$A:$H,3,TRUE),0))</f>
        <v>am</v>
      </c>
      <c r="AO205" s="49" t="str">
        <f>IF(AO204="","",IFERROR(VLOOKUP(AL203,DATA!$A:$H,4,TRUE),0))</f>
        <v>am</v>
      </c>
      <c r="AP205" s="49" t="str">
        <f>IF(AP204="","",IFERROR(VLOOKUP(AL203,DATA!$A:$H,5,TRUE),0))</f>
        <v>am</v>
      </c>
      <c r="AQ205" s="49" t="str">
        <f>IF(AQ204="","",IFERROR(VLOOKUP(AL203,DATA!$A:$H,6,TRUE),0))</f>
        <v>am</v>
      </c>
      <c r="AR205" s="49">
        <f>IF(AR204="","",IFERROR(VLOOKUP(AL203,DATA!$A:$H,7,TRUE),0))</f>
        <v>0</v>
      </c>
      <c r="AS205" s="49" t="str">
        <f>IF(AS204="","",IFERROR(VLOOKUP(AL203,DATA!$A:$H,8,TRUE),0))</f>
        <v/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1</v>
      </c>
      <c r="G206" s="52">
        <f t="shared" si="449"/>
        <v>1</v>
      </c>
      <c r="H206" s="52">
        <f t="shared" si="449"/>
        <v>0</v>
      </c>
      <c r="I206" s="52">
        <f t="shared" si="449"/>
        <v>0</v>
      </c>
      <c r="J206" s="52">
        <f>SUM(C206:I206)</f>
        <v>2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0</v>
      </c>
      <c r="P206" s="52">
        <f t="shared" si="450"/>
        <v>0</v>
      </c>
      <c r="Q206" s="52">
        <f t="shared" si="450"/>
        <v>0</v>
      </c>
      <c r="R206" s="52">
        <f t="shared" si="450"/>
        <v>0</v>
      </c>
      <c r="S206" s="52">
        <f>SUM(L206:R206)</f>
        <v>3</v>
      </c>
      <c r="T206" s="51"/>
      <c r="U206" s="52">
        <f t="shared" ref="U206:AA206" si="451">IF(U205="Matin",1,IF(U205="AM",1,0))</f>
        <v>0</v>
      </c>
      <c r="V206" s="52">
        <f t="shared" si="451"/>
        <v>0</v>
      </c>
      <c r="W206" s="52">
        <f t="shared" si="451"/>
        <v>0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0</v>
      </c>
      <c r="AC206" s="51"/>
      <c r="AD206" s="52">
        <f t="shared" ref="AD206:AJ206" si="452">IF(AD205="Matin",1,IF(AD205="AM",1,0))</f>
        <v>1</v>
      </c>
      <c r="AE206" s="52">
        <f t="shared" si="452"/>
        <v>0</v>
      </c>
      <c r="AF206" s="52">
        <f t="shared" si="452"/>
        <v>0</v>
      </c>
      <c r="AG206" s="52">
        <f t="shared" si="452"/>
        <v>1</v>
      </c>
      <c r="AH206" s="52">
        <f t="shared" si="452"/>
        <v>1</v>
      </c>
      <c r="AI206" s="52">
        <f t="shared" si="452"/>
        <v>0</v>
      </c>
      <c r="AJ206" s="52">
        <f t="shared" si="452"/>
        <v>0</v>
      </c>
      <c r="AK206" s="52">
        <f>SUM(AD206:AJ206)</f>
        <v>3</v>
      </c>
      <c r="AL206" s="51"/>
      <c r="AM206" s="52">
        <f t="shared" ref="AM206:AS206" si="453">IF(AM205="Matin",1,IF(AM205="AM",1,0))</f>
        <v>1</v>
      </c>
      <c r="AN206" s="52">
        <f t="shared" si="453"/>
        <v>1</v>
      </c>
      <c r="AO206" s="52">
        <f t="shared" si="453"/>
        <v>1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5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1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2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0</v>
      </c>
      <c r="P207" s="49">
        <f t="shared" si="458"/>
        <v>0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3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1</v>
      </c>
      <c r="Y207" s="49">
        <f t="shared" si="460"/>
        <v>1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5</v>
      </c>
      <c r="AC207" s="48"/>
      <c r="AD207" s="49">
        <f>IF(AD208&gt;=1,1,0)</f>
        <v>1</v>
      </c>
      <c r="AE207" s="49">
        <f t="shared" ref="AE207:AJ207" si="462">IF(AE208&gt;=1,1,0)</f>
        <v>0</v>
      </c>
      <c r="AF207" s="49">
        <f t="shared" si="462"/>
        <v>0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3</v>
      </c>
      <c r="AL207" s="48"/>
      <c r="AM207" s="49">
        <f>IF(AM208&gt;=1,1,0)</f>
        <v>1</v>
      </c>
      <c r="AN207" s="49">
        <f t="shared" ref="AN207:AS207" si="464">IF(AN208&gt;=1,1,0)</f>
        <v>1</v>
      </c>
      <c r="AO207" s="49">
        <f t="shared" si="464"/>
        <v>1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5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8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16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0</v>
      </c>
      <c r="P208" s="52">
        <f t="shared" si="469"/>
        <v>0</v>
      </c>
      <c r="Q208" s="52">
        <f t="shared" si="469"/>
        <v>0</v>
      </c>
      <c r="R208" s="52">
        <f t="shared" si="469"/>
        <v>0</v>
      </c>
      <c r="S208" s="52">
        <f t="shared" si="459"/>
        <v>24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8</v>
      </c>
      <c r="Y208" s="52">
        <f t="shared" si="470"/>
        <v>8</v>
      </c>
      <c r="Z208" s="52">
        <f t="shared" si="470"/>
        <v>0</v>
      </c>
      <c r="AA208" s="52">
        <f t="shared" si="470"/>
        <v>0</v>
      </c>
      <c r="AB208" s="52">
        <f t="shared" si="461"/>
        <v>40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0</v>
      </c>
      <c r="AF208" s="52">
        <f t="shared" si="471"/>
        <v>0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24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8</v>
      </c>
      <c r="AO208" s="52">
        <f t="shared" si="472"/>
        <v>8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40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48" t="s">
        <v>20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0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0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3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3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0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0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3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3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0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0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5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5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0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0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5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5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48" t="s">
        <v>44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0.16</v>
      </c>
      <c r="V217" s="49">
        <f>IF(V205="nuit",V208*0.02,0)</f>
        <v>0.16</v>
      </c>
      <c r="W217" s="49">
        <f t="shared" ref="W217:AA217" si="482">IF(W205="nuit",W208*0.02,0)</f>
        <v>0.16</v>
      </c>
      <c r="X217" s="49">
        <f t="shared" si="482"/>
        <v>0.16</v>
      </c>
      <c r="Y217" s="49">
        <f>IF(Y205="nuit",Y208*0.02,0)</f>
        <v>0.16</v>
      </c>
      <c r="Z217" s="49">
        <f t="shared" si="482"/>
        <v>0</v>
      </c>
      <c r="AA217" s="49">
        <f t="shared" si="482"/>
        <v>0</v>
      </c>
      <c r="AB217" s="52">
        <f t="shared" si="461"/>
        <v>0.8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3">IF(AF205="nuit",AF208*0.02,0)</f>
        <v>0</v>
      </c>
      <c r="AG217" s="49">
        <f t="shared" si="483"/>
        <v>0</v>
      </c>
      <c r="AH217" s="49">
        <f>IF(AH205="nuit",AH208*0.02,0)</f>
        <v>0</v>
      </c>
      <c r="AI217" s="49">
        <f t="shared" si="483"/>
        <v>0</v>
      </c>
      <c r="AJ217" s="49">
        <f t="shared" si="483"/>
        <v>0</v>
      </c>
      <c r="AK217" s="52">
        <f t="shared" si="463"/>
        <v>0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51" t="s">
        <v>31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E25" sqref="E25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48"/>
      <c r="B1" s="48"/>
      <c r="C1" s="48" t="s">
        <v>36</v>
      </c>
      <c r="D1" s="48" t="s">
        <v>37</v>
      </c>
      <c r="E1" s="48" t="s">
        <v>21</v>
      </c>
      <c r="F1" s="48" t="s">
        <v>22</v>
      </c>
      <c r="G1" s="48" t="s">
        <v>23</v>
      </c>
      <c r="H1" s="48" t="s">
        <v>24</v>
      </c>
      <c r="I1" s="48" t="s">
        <v>38</v>
      </c>
      <c r="J1" s="48" t="s">
        <v>26</v>
      </c>
      <c r="K1" s="48" t="s">
        <v>39</v>
      </c>
      <c r="L1" s="48" t="s">
        <v>40</v>
      </c>
      <c r="M1" s="48" t="s">
        <v>41</v>
      </c>
      <c r="N1" s="48" t="s">
        <v>42</v>
      </c>
      <c r="O1" s="48"/>
      <c r="P1" s="48" t="s">
        <v>43</v>
      </c>
      <c r="Q1" s="48"/>
    </row>
    <row r="2" spans="1:17" ht="15" customHeight="1" x14ac:dyDescent="0.25">
      <c r="A2" s="51" t="s">
        <v>47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 x14ac:dyDescent="0.25">
      <c r="A3" s="48" t="s">
        <v>48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 x14ac:dyDescent="0.25">
      <c r="A4" s="51" t="s">
        <v>33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 x14ac:dyDescent="0.25">
      <c r="A5" s="48" t="s">
        <v>34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53</v>
      </c>
    </row>
    <row r="6" spans="1:17" ht="15" customHeight="1" x14ac:dyDescent="0.25">
      <c r="A6" s="51" t="s">
        <v>49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54</v>
      </c>
    </row>
    <row r="7" spans="1:17" ht="15" customHeight="1" x14ac:dyDescent="0.25">
      <c r="A7" s="48" t="s">
        <v>50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 x14ac:dyDescent="0.25">
      <c r="A8" s="51" t="s">
        <v>51</v>
      </c>
      <c r="B8" s="51"/>
      <c r="C8" s="51">
        <f>B3-C19+C20</f>
        <v>0.16</v>
      </c>
      <c r="D8" s="51">
        <f>C8-D19+D20</f>
        <v>1.1200000000000001</v>
      </c>
      <c r="E8" s="51">
        <f t="shared" ref="E8:M8" si="3">D8-E19+E20</f>
        <v>1.9200000000000002</v>
      </c>
      <c r="F8" s="51">
        <f t="shared" si="3"/>
        <v>2.72</v>
      </c>
      <c r="G8" s="51">
        <f t="shared" si="3"/>
        <v>3.8400000000000003</v>
      </c>
      <c r="H8" s="51">
        <f t="shared" si="3"/>
        <v>4.9600000000000009</v>
      </c>
      <c r="I8" s="51">
        <f t="shared" si="3"/>
        <v>5.7600000000000007</v>
      </c>
      <c r="J8" s="51">
        <f t="shared" si="3"/>
        <v>6.5600000000000005</v>
      </c>
      <c r="K8" s="51">
        <f t="shared" si="3"/>
        <v>7.36</v>
      </c>
      <c r="L8" s="51">
        <f t="shared" si="3"/>
        <v>8.16</v>
      </c>
      <c r="M8" s="51">
        <f t="shared" si="3"/>
        <v>8.9600000000000009</v>
      </c>
      <c r="N8" s="51">
        <f>M8-N19+N20</f>
        <v>9.7600000000000016</v>
      </c>
      <c r="O8" s="51"/>
      <c r="P8" s="51">
        <f>N8</f>
        <v>9.7600000000000016</v>
      </c>
      <c r="Q8" s="51"/>
    </row>
    <row r="9" spans="1:17" ht="15" customHeight="1" x14ac:dyDescent="0.25">
      <c r="A9" s="48" t="s">
        <v>12</v>
      </c>
      <c r="B9" s="48"/>
      <c r="C9" s="48">
        <f>Travail!AY8</f>
        <v>14</v>
      </c>
      <c r="D9" s="48">
        <f>Travail!AY26</f>
        <v>11</v>
      </c>
      <c r="E9" s="48">
        <f>Travail!AY44</f>
        <v>12</v>
      </c>
      <c r="F9" s="48">
        <f>Travail!AY62</f>
        <v>12</v>
      </c>
      <c r="G9" s="48">
        <f>Travail!AY80</f>
        <v>11</v>
      </c>
      <c r="H9" s="48">
        <f>Travail!AY98</f>
        <v>11</v>
      </c>
      <c r="I9" s="48">
        <f>Travail!AY116</f>
        <v>12</v>
      </c>
      <c r="J9" s="48">
        <f>Travail!AY134</f>
        <v>14</v>
      </c>
      <c r="K9" s="48">
        <f>Travail!AY152</f>
        <v>11</v>
      </c>
      <c r="L9" s="48">
        <f>Travail!AY170</f>
        <v>12</v>
      </c>
      <c r="M9" s="48">
        <f>Travail!AY188</f>
        <v>11</v>
      </c>
      <c r="N9" s="48">
        <f>Travail!AY206</f>
        <v>13</v>
      </c>
      <c r="O9" s="48"/>
      <c r="P9" s="48">
        <f>SUM(C9:N9)</f>
        <v>144</v>
      </c>
      <c r="Q9" s="48"/>
    </row>
    <row r="10" spans="1:17" ht="15" customHeight="1" x14ac:dyDescent="0.25">
      <c r="A10" s="51" t="s">
        <v>4</v>
      </c>
      <c r="B10" s="51"/>
      <c r="C10" s="51">
        <f>Travail!AY9</f>
        <v>15</v>
      </c>
      <c r="D10" s="51">
        <f>Travail!AY27</f>
        <v>17</v>
      </c>
      <c r="E10" s="51">
        <f>Travail!AY45</f>
        <v>17</v>
      </c>
      <c r="F10" s="51">
        <f>Travail!AY63</f>
        <v>17</v>
      </c>
      <c r="G10" s="51">
        <f>Travail!AY81</f>
        <v>18</v>
      </c>
      <c r="H10" s="51">
        <f>Travail!AY99</f>
        <v>18</v>
      </c>
      <c r="I10" s="51">
        <f>Travail!AY117</f>
        <v>17</v>
      </c>
      <c r="J10" s="51">
        <f>Travail!AY135</f>
        <v>19</v>
      </c>
      <c r="K10" s="51">
        <f>Travail!AY153</f>
        <v>16</v>
      </c>
      <c r="L10" s="51">
        <f>Travail!AY171</f>
        <v>17</v>
      </c>
      <c r="M10" s="51">
        <f>Travail!AY189</f>
        <v>16</v>
      </c>
      <c r="N10" s="51">
        <f>Travail!AY207</f>
        <v>18</v>
      </c>
      <c r="O10" s="51"/>
      <c r="P10" s="51">
        <f t="shared" ref="P10:P20" si="4">SUM(C10:N10)</f>
        <v>205</v>
      </c>
      <c r="Q10" s="51"/>
    </row>
    <row r="11" spans="1:17" ht="15" customHeight="1" x14ac:dyDescent="0.25">
      <c r="A11" s="48" t="s">
        <v>3</v>
      </c>
      <c r="B11" s="48"/>
      <c r="C11" s="48">
        <f>Travail!AY10</f>
        <v>120</v>
      </c>
      <c r="D11" s="48">
        <f>Travail!AY28</f>
        <v>136</v>
      </c>
      <c r="E11" s="48">
        <f>Travail!AY46</f>
        <v>136</v>
      </c>
      <c r="F11" s="48">
        <f>Travail!AY64</f>
        <v>136</v>
      </c>
      <c r="G11" s="48">
        <f>Travail!AY82</f>
        <v>144</v>
      </c>
      <c r="H11" s="48">
        <f>Travail!AY100</f>
        <v>144</v>
      </c>
      <c r="I11" s="48">
        <f>Travail!AY118</f>
        <v>136</v>
      </c>
      <c r="J11" s="48">
        <f>Travail!AY136</f>
        <v>152</v>
      </c>
      <c r="K11" s="48">
        <f>Travail!AY154</f>
        <v>128</v>
      </c>
      <c r="L11" s="48">
        <f>Travail!AY172</f>
        <v>136</v>
      </c>
      <c r="M11" s="48">
        <f>Travail!AY190</f>
        <v>128</v>
      </c>
      <c r="N11" s="48">
        <f>Travail!AY208</f>
        <v>144</v>
      </c>
      <c r="O11" s="48"/>
      <c r="P11" s="48">
        <f t="shared" si="4"/>
        <v>1640</v>
      </c>
      <c r="Q11" s="48"/>
    </row>
    <row r="12" spans="1:17" ht="15" customHeight="1" x14ac:dyDescent="0.25">
      <c r="A12" s="51" t="s">
        <v>20</v>
      </c>
      <c r="B12" s="51"/>
      <c r="C12" s="51">
        <f>Travail!AY11</f>
        <v>3</v>
      </c>
      <c r="D12" s="51">
        <f>Travail!AY29</f>
        <v>6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3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66</v>
      </c>
      <c r="Q12" s="51"/>
    </row>
    <row r="13" spans="1:17" ht="15" customHeight="1" x14ac:dyDescent="0.25">
      <c r="A13" s="48" t="s">
        <v>6</v>
      </c>
      <c r="B13" s="48"/>
      <c r="C13" s="48">
        <f>Travail!AY12</f>
        <v>5</v>
      </c>
      <c r="D13" s="48">
        <f>Travail!AY30</f>
        <v>10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5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110</v>
      </c>
      <c r="Q13" s="48"/>
    </row>
    <row r="14" spans="1:17" ht="15" customHeight="1" x14ac:dyDescent="0.25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 x14ac:dyDescent="0.25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 x14ac:dyDescent="0.25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 x14ac:dyDescent="0.25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 x14ac:dyDescent="0.25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52</v>
      </c>
    </row>
    <row r="19" spans="1:17" ht="15" customHeight="1" x14ac:dyDescent="0.25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 x14ac:dyDescent="0.25">
      <c r="A20" s="51" t="s">
        <v>44</v>
      </c>
      <c r="B20" s="51"/>
      <c r="C20" s="51">
        <f>Travail!AY19</f>
        <v>0.16</v>
      </c>
      <c r="D20" s="51">
        <f>Travail!AY37</f>
        <v>0.96000000000000008</v>
      </c>
      <c r="E20" s="51">
        <f>Travail!AY55</f>
        <v>0.8</v>
      </c>
      <c r="F20" s="51">
        <f>Travail!AY73</f>
        <v>0.8</v>
      </c>
      <c r="G20" s="51">
        <f>Travail!AY91</f>
        <v>1.1200000000000001</v>
      </c>
      <c r="H20" s="51">
        <f>Travail!AY109</f>
        <v>1.1200000000000001</v>
      </c>
      <c r="I20" s="51">
        <f>Travail!AY127</f>
        <v>0.8</v>
      </c>
      <c r="J20" s="51">
        <f>Travail!AY145</f>
        <v>0.8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0.8</v>
      </c>
      <c r="O20" s="51"/>
      <c r="P20" s="51">
        <f t="shared" si="4"/>
        <v>9.7600000000000016</v>
      </c>
      <c r="Q20" s="51"/>
    </row>
    <row r="21" spans="1:17" ht="15" customHeight="1" x14ac:dyDescent="0.25">
      <c r="A21" s="48" t="s">
        <v>45</v>
      </c>
      <c r="B21" s="48"/>
      <c r="C21" s="48">
        <f>Travail!AZ5</f>
        <v>5</v>
      </c>
      <c r="D21" s="48">
        <f>Travail!AZ23</f>
        <v>10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5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 x14ac:dyDescent="0.25">
      <c r="A22" s="51" t="s">
        <v>46</v>
      </c>
      <c r="B22" s="51"/>
      <c r="C22" s="51">
        <f>Travail!BA5</f>
        <v>5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50</v>
      </c>
      <c r="I22" s="51">
        <f>Travail!BA113</f>
        <v>60</v>
      </c>
      <c r="J22" s="51">
        <f>Travail!BA131</f>
        <v>70</v>
      </c>
      <c r="K22" s="51">
        <f>Travail!BA149</f>
        <v>80</v>
      </c>
      <c r="L22" s="51">
        <f>Travail!BA167</f>
        <v>90</v>
      </c>
      <c r="M22" s="51">
        <f>Travail!BA185</f>
        <v>100</v>
      </c>
      <c r="N22" s="51">
        <f>Travail!BA203</f>
        <v>110</v>
      </c>
      <c r="O22" s="51"/>
      <c r="P22" s="51">
        <f>N22</f>
        <v>110</v>
      </c>
      <c r="Q22" s="51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workbookViewId="0">
      <selection activeCell="B1" sqref="B1"/>
    </sheetView>
  </sheetViews>
  <sheetFormatPr baseColWidth="10" defaultRowHeight="15" x14ac:dyDescent="0.25"/>
  <cols>
    <col min="1" max="1" width="20.54296875" customWidth="1"/>
  </cols>
  <sheetData>
    <row r="1" spans="1:4" x14ac:dyDescent="0.25">
      <c r="A1" t="s">
        <v>81</v>
      </c>
      <c r="B1" s="70" t="s">
        <v>23</v>
      </c>
    </row>
    <row r="2" spans="1:4" x14ac:dyDescent="0.25">
      <c r="D2" t="s">
        <v>83</v>
      </c>
    </row>
    <row r="3" spans="1:4" x14ac:dyDescent="0.25">
      <c r="A3" s="48" t="s">
        <v>12</v>
      </c>
      <c r="B3" s="48">
        <v>13</v>
      </c>
    </row>
    <row r="4" spans="1:4" x14ac:dyDescent="0.25">
      <c r="A4" s="51" t="s">
        <v>4</v>
      </c>
      <c r="B4" s="51">
        <v>18</v>
      </c>
    </row>
    <row r="5" spans="1:4" x14ac:dyDescent="0.25">
      <c r="A5" s="48" t="s">
        <v>3</v>
      </c>
      <c r="B5" s="48">
        <v>144</v>
      </c>
    </row>
    <row r="6" spans="1:4" x14ac:dyDescent="0.25">
      <c r="A6" s="51" t="s">
        <v>20</v>
      </c>
      <c r="B6" s="51">
        <v>6</v>
      </c>
    </row>
    <row r="7" spans="1:4" x14ac:dyDescent="0.25">
      <c r="A7" s="48" t="s">
        <v>6</v>
      </c>
      <c r="B7" s="48">
        <v>10</v>
      </c>
    </row>
    <row r="8" spans="1:4" x14ac:dyDescent="0.25">
      <c r="A8" s="51" t="s">
        <v>5</v>
      </c>
      <c r="B8" s="51">
        <v>0</v>
      </c>
    </row>
    <row r="9" spans="1:4" x14ac:dyDescent="0.25">
      <c r="A9" s="48" t="s">
        <v>7</v>
      </c>
      <c r="B9" s="48">
        <v>0</v>
      </c>
    </row>
    <row r="10" spans="1:4" x14ac:dyDescent="0.25">
      <c r="A10" s="51" t="s">
        <v>8</v>
      </c>
      <c r="B10" s="51">
        <v>0</v>
      </c>
    </row>
    <row r="11" spans="1:4" x14ac:dyDescent="0.25">
      <c r="A11" s="48" t="s">
        <v>9</v>
      </c>
      <c r="B11" s="48">
        <v>0</v>
      </c>
    </row>
    <row r="12" spans="1:4" x14ac:dyDescent="0.25">
      <c r="A12" s="51" t="s">
        <v>11</v>
      </c>
      <c r="B12" s="51">
        <v>0</v>
      </c>
    </row>
    <row r="13" spans="1:4" x14ac:dyDescent="0.25">
      <c r="A13" s="48" t="s">
        <v>10</v>
      </c>
      <c r="B13" s="48">
        <v>0</v>
      </c>
    </row>
    <row r="14" spans="1:4" x14ac:dyDescent="0.25">
      <c r="A14" s="51" t="s">
        <v>44</v>
      </c>
      <c r="B14" s="51">
        <v>0.8</v>
      </c>
    </row>
    <row r="15" spans="1:4" x14ac:dyDescent="0.25">
      <c r="A15" s="48" t="s">
        <v>45</v>
      </c>
      <c r="B15" s="48">
        <v>10</v>
      </c>
    </row>
    <row r="16" spans="1:4" x14ac:dyDescent="0.25">
      <c r="A16" s="51" t="s">
        <v>46</v>
      </c>
      <c r="B16" s="51">
        <v>50</v>
      </c>
    </row>
    <row r="17" spans="6:9" x14ac:dyDescent="0.25">
      <c r="F17" s="69"/>
      <c r="G17" s="66"/>
      <c r="H17" s="66"/>
      <c r="I17" s="66"/>
    </row>
    <row r="18" spans="6:9" x14ac:dyDescent="0.25">
      <c r="F18" s="69"/>
      <c r="G18" s="66"/>
      <c r="H18" s="66"/>
      <c r="I18" s="66"/>
    </row>
    <row r="19" spans="6:9" x14ac:dyDescent="0.25">
      <c r="F19" s="69"/>
      <c r="G19" s="66"/>
      <c r="H19" s="66"/>
      <c r="I19" s="66"/>
    </row>
    <row r="20" spans="6:9" x14ac:dyDescent="0.25">
      <c r="F20" s="69"/>
      <c r="G20" s="66"/>
      <c r="H20" s="66"/>
      <c r="I20" s="66"/>
    </row>
    <row r="21" spans="6:9" x14ac:dyDescent="0.25">
      <c r="F21" s="69"/>
      <c r="G21" s="66"/>
      <c r="H21" s="66"/>
      <c r="I21" s="66"/>
    </row>
    <row r="22" spans="6:9" x14ac:dyDescent="0.25">
      <c r="F22" s="69"/>
      <c r="G22" s="68"/>
      <c r="H22" s="66"/>
      <c r="I22" s="66"/>
    </row>
    <row r="23" spans="6:9" x14ac:dyDescent="0.25">
      <c r="F23" s="66"/>
      <c r="G23" s="67"/>
      <c r="H23" s="66"/>
      <c r="I23" s="66"/>
    </row>
    <row r="24" spans="6:9" x14ac:dyDescent="0.25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H20" sqref="H20"/>
    </sheetView>
  </sheetViews>
  <sheetFormatPr baseColWidth="10" defaultRowHeight="15" x14ac:dyDescent="0.25"/>
  <sheetData>
    <row r="1" spans="1:12" x14ac:dyDescent="0.25">
      <c r="A1" t="s">
        <v>64</v>
      </c>
    </row>
    <row r="2" spans="1:12" x14ac:dyDescent="0.25">
      <c r="A2" t="s">
        <v>58</v>
      </c>
      <c r="B2" t="s">
        <v>61</v>
      </c>
    </row>
    <row r="3" spans="1:12" x14ac:dyDescent="0.25">
      <c r="A3" t="s">
        <v>59</v>
      </c>
      <c r="B3" t="s">
        <v>62</v>
      </c>
    </row>
    <row r="4" spans="1:12" x14ac:dyDescent="0.25">
      <c r="A4" t="s">
        <v>60</v>
      </c>
      <c r="B4" t="s">
        <v>63</v>
      </c>
    </row>
    <row r="5" spans="1:12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12" x14ac:dyDescent="0.25">
      <c r="A6" t="s">
        <v>65</v>
      </c>
      <c r="B6" t="s">
        <v>55</v>
      </c>
      <c r="C6" t="s">
        <v>55</v>
      </c>
      <c r="D6" t="s">
        <v>55</v>
      </c>
    </row>
    <row r="7" spans="1:12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12" x14ac:dyDescent="0.25">
      <c r="A8" t="s">
        <v>74</v>
      </c>
      <c r="B8" t="s">
        <v>55</v>
      </c>
      <c r="E8" t="s">
        <v>55</v>
      </c>
      <c r="F8" t="s">
        <v>55</v>
      </c>
    </row>
    <row r="9" spans="1:12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  <row r="15" spans="1:12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Travail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Ludovic Arduino</cp:lastModifiedBy>
  <dcterms:created xsi:type="dcterms:W3CDTF">2012-08-30T13:50:50Z</dcterms:created>
  <dcterms:modified xsi:type="dcterms:W3CDTF">2016-08-21T06:27:17Z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