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filterPrivacy="1" codeName="ThisWorkbook" autoCompressPictures="0"/>
  <bookViews>
    <workbookView xWindow="0" yWindow="4200" windowWidth="23040" windowHeight="9072"/>
  </bookViews>
  <sheets>
    <sheet name="Travail" sheetId="6" r:id="rId1"/>
    <sheet name="Synthése" sheetId="10" r:id="rId2"/>
    <sheet name="DATA" sheetId="11" r:id="rId3"/>
    <sheet name="Feuil1" sheetId="12" r:id="rId4"/>
    <sheet name="essai" sheetId="13" r:id="rId5"/>
  </sheets>
  <definedNames>
    <definedName name="Année_Calendaire">Travail!$A$1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uil_Dim1">DATE(Année_Calendaire,7,1)-WEEKDAY(DATE(Année_Calendaire,7,1))+1</definedName>
    <definedName name="Juin_Dim1">DATE(Année_Calendaire,6,1)-WEEKDAY(DATE(Année_Calendaire,6,1))+1</definedName>
    <definedName name="Mai_Dim1">DATE(Année_Calendaire,5,1)-WEEKDAY(DATE(Année_Calendaire,5,1))+1</definedName>
    <definedName name="Mar_Dim1">DATE(Année_Calendaire,3,1)-WEEKDAY(DATE(Année_Calendaire,3,1))+1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0">Travail!$A$2:$I$121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6" l="1"/>
  <c r="D11" i="6"/>
  <c r="E11" i="6"/>
  <c r="F11" i="6"/>
  <c r="G11" i="6"/>
  <c r="H11" i="6"/>
  <c r="I11" i="6"/>
  <c r="C12" i="6"/>
  <c r="D12" i="6"/>
  <c r="E12" i="6"/>
  <c r="F12" i="6"/>
  <c r="G12" i="6"/>
  <c r="H12" i="6"/>
  <c r="I12" i="6"/>
  <c r="C13" i="6"/>
  <c r="D13" i="6"/>
  <c r="E13" i="6"/>
  <c r="F13" i="6"/>
  <c r="G13" i="6"/>
  <c r="H13" i="6"/>
  <c r="I13" i="6"/>
  <c r="C14" i="6"/>
  <c r="D14" i="6"/>
  <c r="E14" i="6"/>
  <c r="F14" i="6"/>
  <c r="G14" i="6"/>
  <c r="H14" i="6"/>
  <c r="I14" i="6"/>
  <c r="F7" i="6"/>
  <c r="G7" i="6"/>
  <c r="H7" i="6"/>
  <c r="AW217" i="12" l="1"/>
  <c r="AV217" i="12"/>
  <c r="AX217" i="12" s="1"/>
  <c r="AS217" i="12"/>
  <c r="AR217" i="12"/>
  <c r="AQ217" i="12"/>
  <c r="AP217" i="12"/>
  <c r="AO217" i="12"/>
  <c r="AN217" i="12"/>
  <c r="AM217" i="12"/>
  <c r="AT217" i="12" s="1"/>
  <c r="AJ217" i="12"/>
  <c r="AI217" i="12"/>
  <c r="AH217" i="12"/>
  <c r="AG217" i="12"/>
  <c r="AF217" i="12"/>
  <c r="AE217" i="12"/>
  <c r="AD217" i="12"/>
  <c r="AK217" i="12" s="1"/>
  <c r="AA217" i="12"/>
  <c r="Z217" i="12"/>
  <c r="Y217" i="12"/>
  <c r="X217" i="12"/>
  <c r="W217" i="12"/>
  <c r="V217" i="12"/>
  <c r="U217" i="12"/>
  <c r="AB217" i="12" s="1"/>
  <c r="R217" i="12"/>
  <c r="Q217" i="12"/>
  <c r="P217" i="12"/>
  <c r="O217" i="12"/>
  <c r="N217" i="12"/>
  <c r="M217" i="12"/>
  <c r="L217" i="12"/>
  <c r="S217" i="12" s="1"/>
  <c r="I217" i="12"/>
  <c r="H217" i="12"/>
  <c r="G217" i="12"/>
  <c r="F217" i="12"/>
  <c r="E217" i="12"/>
  <c r="D217" i="12"/>
  <c r="C217" i="12"/>
  <c r="J217" i="12" s="1"/>
  <c r="AX216" i="12"/>
  <c r="AT216" i="12"/>
  <c r="AK216" i="12"/>
  <c r="AB216" i="12"/>
  <c r="S216" i="12"/>
  <c r="J216" i="12"/>
  <c r="AY216" i="12" s="1"/>
  <c r="AX215" i="12"/>
  <c r="AT215" i="12"/>
  <c r="AK215" i="12"/>
  <c r="AB215" i="12"/>
  <c r="S215" i="12"/>
  <c r="AY215" i="12" s="1"/>
  <c r="J215" i="12"/>
  <c r="AX214" i="12"/>
  <c r="AT214" i="12"/>
  <c r="AK214" i="12"/>
  <c r="AB214" i="12"/>
  <c r="S214" i="12"/>
  <c r="J214" i="12"/>
  <c r="AY214" i="12" s="1"/>
  <c r="AX213" i="12"/>
  <c r="AT213" i="12"/>
  <c r="AK213" i="12"/>
  <c r="AB213" i="12"/>
  <c r="S213" i="12"/>
  <c r="J213" i="12"/>
  <c r="AY213" i="12" s="1"/>
  <c r="AW212" i="12"/>
  <c r="AV212" i="12"/>
  <c r="AX212" i="12" s="1"/>
  <c r="AS212" i="12"/>
  <c r="AR212" i="12"/>
  <c r="AQ212" i="12"/>
  <c r="AP212" i="12"/>
  <c r="AO212" i="12"/>
  <c r="AN212" i="12"/>
  <c r="AM212" i="12"/>
  <c r="AT212" i="12" s="1"/>
  <c r="AJ212" i="12"/>
  <c r="AI212" i="12"/>
  <c r="AH212" i="12"/>
  <c r="AG212" i="12"/>
  <c r="AF212" i="12"/>
  <c r="AE212" i="12"/>
  <c r="AD212" i="12"/>
  <c r="AK212" i="12" s="1"/>
  <c r="AA212" i="12"/>
  <c r="Z212" i="12"/>
  <c r="Y212" i="12"/>
  <c r="X212" i="12"/>
  <c r="W212" i="12"/>
  <c r="V212" i="12"/>
  <c r="U212" i="12"/>
  <c r="AB212" i="12" s="1"/>
  <c r="R212" i="12"/>
  <c r="Q212" i="12"/>
  <c r="P212" i="12"/>
  <c r="O212" i="12"/>
  <c r="N212" i="12"/>
  <c r="M212" i="12"/>
  <c r="L212" i="12"/>
  <c r="S212" i="12" s="1"/>
  <c r="I212" i="12"/>
  <c r="H212" i="12"/>
  <c r="G212" i="12"/>
  <c r="F212" i="12"/>
  <c r="E212" i="12"/>
  <c r="D212" i="12"/>
  <c r="C212" i="12"/>
  <c r="J212" i="12" s="1"/>
  <c r="AY212" i="12" s="1"/>
  <c r="AW211" i="12"/>
  <c r="AV211" i="12"/>
  <c r="AX211" i="12" s="1"/>
  <c r="AS211" i="12"/>
  <c r="AR211" i="12"/>
  <c r="AQ211" i="12"/>
  <c r="AP211" i="12"/>
  <c r="AO211" i="12"/>
  <c r="AN211" i="12"/>
  <c r="AM211" i="12"/>
  <c r="AT211" i="12" s="1"/>
  <c r="AJ211" i="12"/>
  <c r="AI211" i="12"/>
  <c r="AH211" i="12"/>
  <c r="AG211" i="12"/>
  <c r="AF211" i="12"/>
  <c r="AE211" i="12"/>
  <c r="AD211" i="12"/>
  <c r="AK211" i="12" s="1"/>
  <c r="AA211" i="12"/>
  <c r="Z211" i="12"/>
  <c r="Y211" i="12"/>
  <c r="X211" i="12"/>
  <c r="W211" i="12"/>
  <c r="V211" i="12"/>
  <c r="U211" i="12"/>
  <c r="AB211" i="12" s="1"/>
  <c r="R211" i="12"/>
  <c r="Q211" i="12"/>
  <c r="P211" i="12"/>
  <c r="O211" i="12"/>
  <c r="N211" i="12"/>
  <c r="M211" i="12"/>
  <c r="L211" i="12"/>
  <c r="S211" i="12" s="1"/>
  <c r="I211" i="12"/>
  <c r="H211" i="12"/>
  <c r="G211" i="12"/>
  <c r="F211" i="12"/>
  <c r="E211" i="12"/>
  <c r="D211" i="12"/>
  <c r="C211" i="12"/>
  <c r="J211" i="12" s="1"/>
  <c r="AW210" i="12"/>
  <c r="AV210" i="12"/>
  <c r="AX210" i="12" s="1"/>
  <c r="AS210" i="12"/>
  <c r="AR210" i="12"/>
  <c r="AQ210" i="12"/>
  <c r="AP210" i="12"/>
  <c r="AO210" i="12"/>
  <c r="AN210" i="12"/>
  <c r="AM210" i="12"/>
  <c r="AT210" i="12" s="1"/>
  <c r="AJ210" i="12"/>
  <c r="AI210" i="12"/>
  <c r="AH210" i="12"/>
  <c r="AG210" i="12"/>
  <c r="AF210" i="12"/>
  <c r="AE210" i="12"/>
  <c r="AD210" i="12"/>
  <c r="AK210" i="12" s="1"/>
  <c r="AA210" i="12"/>
  <c r="Z210" i="12"/>
  <c r="Y210" i="12"/>
  <c r="X210" i="12"/>
  <c r="W210" i="12"/>
  <c r="V210" i="12"/>
  <c r="U210" i="12"/>
  <c r="AB210" i="12" s="1"/>
  <c r="R210" i="12"/>
  <c r="Q210" i="12"/>
  <c r="P210" i="12"/>
  <c r="O210" i="12"/>
  <c r="N210" i="12"/>
  <c r="M210" i="12"/>
  <c r="L210" i="12"/>
  <c r="S210" i="12" s="1"/>
  <c r="I210" i="12"/>
  <c r="H210" i="12"/>
  <c r="G210" i="12"/>
  <c r="F210" i="12"/>
  <c r="E210" i="12"/>
  <c r="D210" i="12"/>
  <c r="C210" i="12"/>
  <c r="J210" i="12" s="1"/>
  <c r="AY210" i="12" s="1"/>
  <c r="AW209" i="12"/>
  <c r="AV209" i="12"/>
  <c r="AX209" i="12" s="1"/>
  <c r="AS209" i="12"/>
  <c r="AR209" i="12"/>
  <c r="AQ209" i="12"/>
  <c r="AP209" i="12"/>
  <c r="AO209" i="12"/>
  <c r="AN209" i="12"/>
  <c r="AM209" i="12"/>
  <c r="AT209" i="12" s="1"/>
  <c r="AJ209" i="12"/>
  <c r="AI209" i="12"/>
  <c r="AH209" i="12"/>
  <c r="AG209" i="12"/>
  <c r="AF209" i="12"/>
  <c r="AE209" i="12"/>
  <c r="AD209" i="12"/>
  <c r="AK209" i="12" s="1"/>
  <c r="AA209" i="12"/>
  <c r="Z209" i="12"/>
  <c r="Y209" i="12"/>
  <c r="X209" i="12"/>
  <c r="W209" i="12"/>
  <c r="V209" i="12"/>
  <c r="U209" i="12"/>
  <c r="AB209" i="12" s="1"/>
  <c r="R209" i="12"/>
  <c r="Q209" i="12"/>
  <c r="P209" i="12"/>
  <c r="O209" i="12"/>
  <c r="N209" i="12"/>
  <c r="M209" i="12"/>
  <c r="L209" i="12"/>
  <c r="S209" i="12" s="1"/>
  <c r="I209" i="12"/>
  <c r="H209" i="12"/>
  <c r="G209" i="12"/>
  <c r="F209" i="12"/>
  <c r="E209" i="12"/>
  <c r="D209" i="12"/>
  <c r="C209" i="12"/>
  <c r="J209" i="12" s="1"/>
  <c r="AX208" i="12"/>
  <c r="AT208" i="12"/>
  <c r="AK208" i="12"/>
  <c r="AB208" i="12"/>
  <c r="S208" i="12"/>
  <c r="J208" i="12"/>
  <c r="AY208" i="12" s="1"/>
  <c r="AW207" i="12"/>
  <c r="AV207" i="12"/>
  <c r="AX207" i="12" s="1"/>
  <c r="AS207" i="12"/>
  <c r="AR207" i="12"/>
  <c r="AQ207" i="12"/>
  <c r="AP207" i="12"/>
  <c r="AT207" i="12" s="1"/>
  <c r="AO207" i="12"/>
  <c r="AN207" i="12"/>
  <c r="AM207" i="12"/>
  <c r="AJ207" i="12"/>
  <c r="AI207" i="12"/>
  <c r="AH207" i="12"/>
  <c r="AG207" i="12"/>
  <c r="AK207" i="12" s="1"/>
  <c r="AF207" i="12"/>
  <c r="AE207" i="12"/>
  <c r="AD207" i="12"/>
  <c r="AA207" i="12"/>
  <c r="Z207" i="12"/>
  <c r="Y207" i="12"/>
  <c r="X207" i="12"/>
  <c r="AB207" i="12" s="1"/>
  <c r="W207" i="12"/>
  <c r="V207" i="12"/>
  <c r="U207" i="12"/>
  <c r="R207" i="12"/>
  <c r="Q207" i="12"/>
  <c r="P207" i="12"/>
  <c r="O207" i="12"/>
  <c r="S207" i="12" s="1"/>
  <c r="N207" i="12"/>
  <c r="M207" i="12"/>
  <c r="L207" i="12"/>
  <c r="I207" i="12"/>
  <c r="H207" i="12"/>
  <c r="G207" i="12"/>
  <c r="F207" i="12"/>
  <c r="J207" i="12" s="1"/>
  <c r="E207" i="12"/>
  <c r="D207" i="12"/>
  <c r="C207" i="12"/>
  <c r="AW206" i="12"/>
  <c r="AV206" i="12"/>
  <c r="AX206" i="12" s="1"/>
  <c r="AT206" i="12"/>
  <c r="AS206" i="12"/>
  <c r="AR206" i="12"/>
  <c r="AQ206" i="12"/>
  <c r="AP206" i="12"/>
  <c r="AO206" i="12"/>
  <c r="AN206" i="12"/>
  <c r="AM206" i="12"/>
  <c r="AK206" i="12"/>
  <c r="AJ206" i="12"/>
  <c r="AI206" i="12"/>
  <c r="AH206" i="12"/>
  <c r="AG206" i="12"/>
  <c r="AF206" i="12"/>
  <c r="AE206" i="12"/>
  <c r="AD206" i="12"/>
  <c r="AB206" i="12"/>
  <c r="AA206" i="12"/>
  <c r="Z206" i="12"/>
  <c r="Y206" i="12"/>
  <c r="X206" i="12"/>
  <c r="W206" i="12"/>
  <c r="V206" i="12"/>
  <c r="U206" i="12"/>
  <c r="S206" i="12"/>
  <c r="R206" i="12"/>
  <c r="Q206" i="12"/>
  <c r="P206" i="12"/>
  <c r="O206" i="12"/>
  <c r="N206" i="12"/>
  <c r="M206" i="12"/>
  <c r="L206" i="12"/>
  <c r="J206" i="12"/>
  <c r="I206" i="12"/>
  <c r="H206" i="12"/>
  <c r="G206" i="12"/>
  <c r="F206" i="12"/>
  <c r="E206" i="12"/>
  <c r="D206" i="12"/>
  <c r="C206" i="12"/>
  <c r="AW204" i="12"/>
  <c r="AV204" i="12"/>
  <c r="AS204" i="12"/>
  <c r="AR204" i="12"/>
  <c r="AQ204" i="12"/>
  <c r="AP204" i="12"/>
  <c r="AO204" i="12"/>
  <c r="AN204" i="12"/>
  <c r="AM204" i="12"/>
  <c r="AJ204" i="12"/>
  <c r="AI204" i="12"/>
  <c r="AH204" i="12"/>
  <c r="AG204" i="12"/>
  <c r="AF204" i="12"/>
  <c r="AE204" i="12"/>
  <c r="AD204" i="12"/>
  <c r="AA204" i="12"/>
  <c r="Z204" i="12"/>
  <c r="Y204" i="12"/>
  <c r="X204" i="12"/>
  <c r="W204" i="12"/>
  <c r="V204" i="12"/>
  <c r="U204" i="12"/>
  <c r="R204" i="12"/>
  <c r="Q204" i="12"/>
  <c r="P204" i="12"/>
  <c r="O204" i="12"/>
  <c r="N204" i="12"/>
  <c r="M204" i="12"/>
  <c r="L204" i="12"/>
  <c r="I204" i="12"/>
  <c r="H204" i="12"/>
  <c r="G204" i="12"/>
  <c r="F204" i="12"/>
  <c r="E204" i="12"/>
  <c r="D204" i="12"/>
  <c r="C204" i="12"/>
  <c r="AR202" i="12"/>
  <c r="Z202" i="12"/>
  <c r="H202" i="12"/>
  <c r="AW199" i="12"/>
  <c r="AX199" i="12" s="1"/>
  <c r="AV199" i="12"/>
  <c r="AS199" i="12"/>
  <c r="AR199" i="12"/>
  <c r="AQ199" i="12"/>
  <c r="AP199" i="12"/>
  <c r="AO199" i="12"/>
  <c r="AN199" i="12"/>
  <c r="AM199" i="12"/>
  <c r="AT199" i="12" s="1"/>
  <c r="AJ199" i="12"/>
  <c r="AI199" i="12"/>
  <c r="AH199" i="12"/>
  <c r="AG199" i="12"/>
  <c r="AF199" i="12"/>
  <c r="AE199" i="12"/>
  <c r="AD199" i="12"/>
  <c r="AK199" i="12" s="1"/>
  <c r="AA199" i="12"/>
  <c r="Z199" i="12"/>
  <c r="Y199" i="12"/>
  <c r="X199" i="12"/>
  <c r="W199" i="12"/>
  <c r="V199" i="12"/>
  <c r="U199" i="12"/>
  <c r="AB199" i="12" s="1"/>
  <c r="R199" i="12"/>
  <c r="Q199" i="12"/>
  <c r="P199" i="12"/>
  <c r="O199" i="12"/>
  <c r="N199" i="12"/>
  <c r="M199" i="12"/>
  <c r="L199" i="12"/>
  <c r="S199" i="12" s="1"/>
  <c r="I199" i="12"/>
  <c r="H199" i="12"/>
  <c r="G199" i="12"/>
  <c r="F199" i="12"/>
  <c r="E199" i="12"/>
  <c r="D199" i="12"/>
  <c r="C199" i="12"/>
  <c r="J199" i="12" s="1"/>
  <c r="AX198" i="12"/>
  <c r="AT198" i="12"/>
  <c r="AK198" i="12"/>
  <c r="AB198" i="12"/>
  <c r="S198" i="12"/>
  <c r="J198" i="12"/>
  <c r="AY198" i="12" s="1"/>
  <c r="AX197" i="12"/>
  <c r="AT197" i="12"/>
  <c r="AK197" i="12"/>
  <c r="AB197" i="12"/>
  <c r="S197" i="12"/>
  <c r="J197" i="12"/>
  <c r="AY197" i="12" s="1"/>
  <c r="AX196" i="12"/>
  <c r="AT196" i="12"/>
  <c r="AK196" i="12"/>
  <c r="AB196" i="12"/>
  <c r="AY196" i="12" s="1"/>
  <c r="S196" i="12"/>
  <c r="J196" i="12"/>
  <c r="AX195" i="12"/>
  <c r="AT195" i="12"/>
  <c r="AK195" i="12"/>
  <c r="AB195" i="12"/>
  <c r="S195" i="12"/>
  <c r="J195" i="12"/>
  <c r="AY195" i="12" s="1"/>
  <c r="AW194" i="12"/>
  <c r="AX194" i="12" s="1"/>
  <c r="AV194" i="12"/>
  <c r="AS194" i="12"/>
  <c r="AR194" i="12"/>
  <c r="AQ194" i="12"/>
  <c r="AP194" i="12"/>
  <c r="AO194" i="12"/>
  <c r="AN194" i="12"/>
  <c r="AM194" i="12"/>
  <c r="AT194" i="12" s="1"/>
  <c r="AJ194" i="12"/>
  <c r="AI194" i="12"/>
  <c r="AH194" i="12"/>
  <c r="AG194" i="12"/>
  <c r="AF194" i="12"/>
  <c r="AE194" i="12"/>
  <c r="AD194" i="12"/>
  <c r="AK194" i="12" s="1"/>
  <c r="AA194" i="12"/>
  <c r="Z194" i="12"/>
  <c r="Y194" i="12"/>
  <c r="X194" i="12"/>
  <c r="W194" i="12"/>
  <c r="V194" i="12"/>
  <c r="U194" i="12"/>
  <c r="AB194" i="12" s="1"/>
  <c r="R194" i="12"/>
  <c r="Q194" i="12"/>
  <c r="P194" i="12"/>
  <c r="O194" i="12"/>
  <c r="N194" i="12"/>
  <c r="M194" i="12"/>
  <c r="L194" i="12"/>
  <c r="S194" i="12" s="1"/>
  <c r="I194" i="12"/>
  <c r="H194" i="12"/>
  <c r="G194" i="12"/>
  <c r="F194" i="12"/>
  <c r="E194" i="12"/>
  <c r="D194" i="12"/>
  <c r="C194" i="12"/>
  <c r="J194" i="12" s="1"/>
  <c r="AW193" i="12"/>
  <c r="AV193" i="12"/>
  <c r="AX193" i="12" s="1"/>
  <c r="AS193" i="12"/>
  <c r="AR193" i="12"/>
  <c r="AQ193" i="12"/>
  <c r="AP193" i="12"/>
  <c r="AO193" i="12"/>
  <c r="AN193" i="12"/>
  <c r="AM193" i="12"/>
  <c r="AT193" i="12" s="1"/>
  <c r="AJ193" i="12"/>
  <c r="AI193" i="12"/>
  <c r="AH193" i="12"/>
  <c r="AG193" i="12"/>
  <c r="AF193" i="12"/>
  <c r="AE193" i="12"/>
  <c r="AD193" i="12"/>
  <c r="AK193" i="12" s="1"/>
  <c r="AA193" i="12"/>
  <c r="Z193" i="12"/>
  <c r="Y193" i="12"/>
  <c r="X193" i="12"/>
  <c r="W193" i="12"/>
  <c r="V193" i="12"/>
  <c r="U193" i="12"/>
  <c r="AB193" i="12" s="1"/>
  <c r="R193" i="12"/>
  <c r="Q193" i="12"/>
  <c r="P193" i="12"/>
  <c r="O193" i="12"/>
  <c r="N193" i="12"/>
  <c r="M193" i="12"/>
  <c r="L193" i="12"/>
  <c r="S193" i="12" s="1"/>
  <c r="I193" i="12"/>
  <c r="H193" i="12"/>
  <c r="G193" i="12"/>
  <c r="F193" i="12"/>
  <c r="E193" i="12"/>
  <c r="D193" i="12"/>
  <c r="C193" i="12"/>
  <c r="J193" i="12" s="1"/>
  <c r="AW192" i="12"/>
  <c r="AX192" i="12" s="1"/>
  <c r="AV192" i="12"/>
  <c r="AS192" i="12"/>
  <c r="AR192" i="12"/>
  <c r="AQ192" i="12"/>
  <c r="AP192" i="12"/>
  <c r="AO192" i="12"/>
  <c r="AN192" i="12"/>
  <c r="AM192" i="12"/>
  <c r="AT192" i="12" s="1"/>
  <c r="AJ192" i="12"/>
  <c r="AI192" i="12"/>
  <c r="AH192" i="12"/>
  <c r="AG192" i="12"/>
  <c r="AF192" i="12"/>
  <c r="AE192" i="12"/>
  <c r="AD192" i="12"/>
  <c r="AK192" i="12" s="1"/>
  <c r="AA192" i="12"/>
  <c r="Z192" i="12"/>
  <c r="Y192" i="12"/>
  <c r="X192" i="12"/>
  <c r="W192" i="12"/>
  <c r="V192" i="12"/>
  <c r="U192" i="12"/>
  <c r="AB192" i="12" s="1"/>
  <c r="R192" i="12"/>
  <c r="Q192" i="12"/>
  <c r="P192" i="12"/>
  <c r="O192" i="12"/>
  <c r="N192" i="12"/>
  <c r="M192" i="12"/>
  <c r="L192" i="12"/>
  <c r="S192" i="12" s="1"/>
  <c r="I192" i="12"/>
  <c r="H192" i="12"/>
  <c r="G192" i="12"/>
  <c r="F192" i="12"/>
  <c r="E192" i="12"/>
  <c r="D192" i="12"/>
  <c r="C192" i="12"/>
  <c r="J192" i="12" s="1"/>
  <c r="AY192" i="12" s="1"/>
  <c r="AW191" i="12"/>
  <c r="AV191" i="12"/>
  <c r="AX191" i="12" s="1"/>
  <c r="AS191" i="12"/>
  <c r="AR191" i="12"/>
  <c r="AQ191" i="12"/>
  <c r="AP191" i="12"/>
  <c r="AO191" i="12"/>
  <c r="AN191" i="12"/>
  <c r="AM191" i="12"/>
  <c r="AT191" i="12" s="1"/>
  <c r="AJ191" i="12"/>
  <c r="AI191" i="12"/>
  <c r="AH191" i="12"/>
  <c r="AG191" i="12"/>
  <c r="AF191" i="12"/>
  <c r="AE191" i="12"/>
  <c r="AD191" i="12"/>
  <c r="AK191" i="12" s="1"/>
  <c r="AA191" i="12"/>
  <c r="Z191" i="12"/>
  <c r="Y191" i="12"/>
  <c r="X191" i="12"/>
  <c r="W191" i="12"/>
  <c r="V191" i="12"/>
  <c r="U191" i="12"/>
  <c r="AB191" i="12" s="1"/>
  <c r="R191" i="12"/>
  <c r="Q191" i="12"/>
  <c r="P191" i="12"/>
  <c r="O191" i="12"/>
  <c r="N191" i="12"/>
  <c r="M191" i="12"/>
  <c r="L191" i="12"/>
  <c r="S191" i="12" s="1"/>
  <c r="I191" i="12"/>
  <c r="H191" i="12"/>
  <c r="G191" i="12"/>
  <c r="F191" i="12"/>
  <c r="E191" i="12"/>
  <c r="D191" i="12"/>
  <c r="C191" i="12"/>
  <c r="J191" i="12" s="1"/>
  <c r="AX190" i="12"/>
  <c r="AT190" i="12"/>
  <c r="AK190" i="12"/>
  <c r="AB190" i="12"/>
  <c r="S190" i="12"/>
  <c r="J190" i="12"/>
  <c r="AY190" i="12" s="1"/>
  <c r="AW189" i="12"/>
  <c r="AV189" i="12"/>
  <c r="AX189" i="12" s="1"/>
  <c r="AS189" i="12"/>
  <c r="AR189" i="12"/>
  <c r="AQ189" i="12"/>
  <c r="AP189" i="12"/>
  <c r="AO189" i="12"/>
  <c r="AN189" i="12"/>
  <c r="AM189" i="12"/>
  <c r="AT189" i="12" s="1"/>
  <c r="AJ189" i="12"/>
  <c r="AI189" i="12"/>
  <c r="AH189" i="12"/>
  <c r="AG189" i="12"/>
  <c r="AF189" i="12"/>
  <c r="AE189" i="12"/>
  <c r="AD189" i="12"/>
  <c r="AK189" i="12" s="1"/>
  <c r="AA189" i="12"/>
  <c r="Z189" i="12"/>
  <c r="Y189" i="12"/>
  <c r="X189" i="12"/>
  <c r="W189" i="12"/>
  <c r="V189" i="12"/>
  <c r="U189" i="12"/>
  <c r="AB189" i="12" s="1"/>
  <c r="R189" i="12"/>
  <c r="Q189" i="12"/>
  <c r="P189" i="12"/>
  <c r="O189" i="12"/>
  <c r="N189" i="12"/>
  <c r="M189" i="12"/>
  <c r="L189" i="12"/>
  <c r="S189" i="12" s="1"/>
  <c r="I189" i="12"/>
  <c r="H189" i="12"/>
  <c r="G189" i="12"/>
  <c r="F189" i="12"/>
  <c r="E189" i="12"/>
  <c r="D189" i="12"/>
  <c r="C189" i="12"/>
  <c r="J189" i="12" s="1"/>
  <c r="AY189" i="12" s="1"/>
  <c r="AW188" i="12"/>
  <c r="AV188" i="12"/>
  <c r="AX188" i="12" s="1"/>
  <c r="AS188" i="12"/>
  <c r="AR188" i="12"/>
  <c r="AQ188" i="12"/>
  <c r="AP188" i="12"/>
  <c r="AO188" i="12"/>
  <c r="AN188" i="12"/>
  <c r="AM188" i="12"/>
  <c r="AT188" i="12" s="1"/>
  <c r="AJ188" i="12"/>
  <c r="AI188" i="12"/>
  <c r="AH188" i="12"/>
  <c r="AG188" i="12"/>
  <c r="AF188" i="12"/>
  <c r="AE188" i="12"/>
  <c r="AD188" i="12"/>
  <c r="AK188" i="12" s="1"/>
  <c r="AA188" i="12"/>
  <c r="Z188" i="12"/>
  <c r="Y188" i="12"/>
  <c r="X188" i="12"/>
  <c r="W188" i="12"/>
  <c r="V188" i="12"/>
  <c r="U188" i="12"/>
  <c r="AB188" i="12" s="1"/>
  <c r="R188" i="12"/>
  <c r="Q188" i="12"/>
  <c r="P188" i="12"/>
  <c r="O188" i="12"/>
  <c r="N188" i="12"/>
  <c r="M188" i="12"/>
  <c r="L188" i="12"/>
  <c r="S188" i="12" s="1"/>
  <c r="I188" i="12"/>
  <c r="H188" i="12"/>
  <c r="G188" i="12"/>
  <c r="F188" i="12"/>
  <c r="E188" i="12"/>
  <c r="D188" i="12"/>
  <c r="C188" i="12"/>
  <c r="J188" i="12" s="1"/>
  <c r="AW186" i="12"/>
  <c r="AV186" i="12"/>
  <c r="AS186" i="12"/>
  <c r="AR186" i="12"/>
  <c r="AQ186" i="12"/>
  <c r="AP186" i="12"/>
  <c r="AO186" i="12"/>
  <c r="AN186" i="12"/>
  <c r="AM186" i="12"/>
  <c r="AJ186" i="12"/>
  <c r="AI186" i="12"/>
  <c r="AH186" i="12"/>
  <c r="AG186" i="12"/>
  <c r="AF186" i="12"/>
  <c r="AE186" i="12"/>
  <c r="AD186" i="12"/>
  <c r="AA186" i="12"/>
  <c r="Z186" i="12"/>
  <c r="Y186" i="12"/>
  <c r="X186" i="12"/>
  <c r="W186" i="12"/>
  <c r="V186" i="12"/>
  <c r="U186" i="12"/>
  <c r="R186" i="12"/>
  <c r="Q186" i="12"/>
  <c r="P186" i="12"/>
  <c r="O186" i="12"/>
  <c r="N186" i="12"/>
  <c r="M186" i="12"/>
  <c r="L186" i="12"/>
  <c r="I186" i="12"/>
  <c r="H186" i="12"/>
  <c r="G186" i="12"/>
  <c r="F186" i="12"/>
  <c r="E186" i="12"/>
  <c r="D186" i="12"/>
  <c r="C186" i="12"/>
  <c r="AR184" i="12"/>
  <c r="Z184" i="12"/>
  <c r="H184" i="12"/>
  <c r="AX181" i="12"/>
  <c r="AW181" i="12"/>
  <c r="AV181" i="12"/>
  <c r="AS181" i="12"/>
  <c r="AR181" i="12"/>
  <c r="AQ181" i="12"/>
  <c r="AP181" i="12"/>
  <c r="AO181" i="12"/>
  <c r="AN181" i="12"/>
  <c r="AT181" i="12" s="1"/>
  <c r="AM181" i="12"/>
  <c r="AJ181" i="12"/>
  <c r="AI181" i="12"/>
  <c r="AH181" i="12"/>
  <c r="AG181" i="12"/>
  <c r="AF181" i="12"/>
  <c r="AE181" i="12"/>
  <c r="AK181" i="12" s="1"/>
  <c r="AD181" i="12"/>
  <c r="AA181" i="12"/>
  <c r="Z181" i="12"/>
  <c r="Y181" i="12"/>
  <c r="X181" i="12"/>
  <c r="W181" i="12"/>
  <c r="V181" i="12"/>
  <c r="AB181" i="12" s="1"/>
  <c r="U181" i="12"/>
  <c r="R181" i="12"/>
  <c r="Q181" i="12"/>
  <c r="P181" i="12"/>
  <c r="O181" i="12"/>
  <c r="N181" i="12"/>
  <c r="M181" i="12"/>
  <c r="S181" i="12" s="1"/>
  <c r="L181" i="12"/>
  <c r="I181" i="12"/>
  <c r="H181" i="12"/>
  <c r="G181" i="12"/>
  <c r="F181" i="12"/>
  <c r="E181" i="12"/>
  <c r="D181" i="12"/>
  <c r="J181" i="12" s="1"/>
  <c r="AY181" i="12" s="1"/>
  <c r="C181" i="12"/>
  <c r="AX180" i="12"/>
  <c r="AT180" i="12"/>
  <c r="AK180" i="12"/>
  <c r="AB180" i="12"/>
  <c r="S180" i="12"/>
  <c r="J180" i="12"/>
  <c r="AY180" i="12" s="1"/>
  <c r="AX179" i="12"/>
  <c r="AT179" i="12"/>
  <c r="AK179" i="12"/>
  <c r="AB179" i="12"/>
  <c r="S179" i="12"/>
  <c r="J179" i="12"/>
  <c r="AY179" i="12" s="1"/>
  <c r="AX178" i="12"/>
  <c r="AT178" i="12"/>
  <c r="AK178" i="12"/>
  <c r="AB178" i="12"/>
  <c r="AY178" i="12" s="1"/>
  <c r="S178" i="12"/>
  <c r="J178" i="12"/>
  <c r="AX177" i="12"/>
  <c r="AT177" i="12"/>
  <c r="AK177" i="12"/>
  <c r="AB177" i="12"/>
  <c r="AY177" i="12" s="1"/>
  <c r="S177" i="12"/>
  <c r="J177" i="12"/>
  <c r="AX176" i="12"/>
  <c r="AW176" i="12"/>
  <c r="AV176" i="12"/>
  <c r="AS176" i="12"/>
  <c r="AR176" i="12"/>
  <c r="AQ176" i="12"/>
  <c r="AP176" i="12"/>
  <c r="AO176" i="12"/>
  <c r="AN176" i="12"/>
  <c r="AT176" i="12" s="1"/>
  <c r="AM176" i="12"/>
  <c r="AJ176" i="12"/>
  <c r="AI176" i="12"/>
  <c r="AH176" i="12"/>
  <c r="AG176" i="12"/>
  <c r="AF176" i="12"/>
  <c r="AE176" i="12"/>
  <c r="AK176" i="12" s="1"/>
  <c r="AD176" i="12"/>
  <c r="AA176" i="12"/>
  <c r="Z176" i="12"/>
  <c r="Y176" i="12"/>
  <c r="X176" i="12"/>
  <c r="W176" i="12"/>
  <c r="V176" i="12"/>
  <c r="AB176" i="12" s="1"/>
  <c r="U176" i="12"/>
  <c r="R176" i="12"/>
  <c r="Q176" i="12"/>
  <c r="P176" i="12"/>
  <c r="O176" i="12"/>
  <c r="N176" i="12"/>
  <c r="M176" i="12"/>
  <c r="S176" i="12" s="1"/>
  <c r="L176" i="12"/>
  <c r="I176" i="12"/>
  <c r="H176" i="12"/>
  <c r="G176" i="12"/>
  <c r="F176" i="12"/>
  <c r="E176" i="12"/>
  <c r="D176" i="12"/>
  <c r="J176" i="12" s="1"/>
  <c r="AY176" i="12" s="1"/>
  <c r="C176" i="12"/>
  <c r="AX175" i="12"/>
  <c r="AW175" i="12"/>
  <c r="AV175" i="12"/>
  <c r="AS175" i="12"/>
  <c r="AR175" i="12"/>
  <c r="AQ175" i="12"/>
  <c r="AP175" i="12"/>
  <c r="AO175" i="12"/>
  <c r="AN175" i="12"/>
  <c r="AT175" i="12" s="1"/>
  <c r="AM175" i="12"/>
  <c r="AJ175" i="12"/>
  <c r="AI175" i="12"/>
  <c r="AH175" i="12"/>
  <c r="AG175" i="12"/>
  <c r="AF175" i="12"/>
  <c r="AE175" i="12"/>
  <c r="AK175" i="12" s="1"/>
  <c r="AD175" i="12"/>
  <c r="AA175" i="12"/>
  <c r="Z175" i="12"/>
  <c r="Y175" i="12"/>
  <c r="X175" i="12"/>
  <c r="W175" i="12"/>
  <c r="V175" i="12"/>
  <c r="AB175" i="12" s="1"/>
  <c r="U175" i="12"/>
  <c r="R175" i="12"/>
  <c r="Q175" i="12"/>
  <c r="P175" i="12"/>
  <c r="O175" i="12"/>
  <c r="N175" i="12"/>
  <c r="M175" i="12"/>
  <c r="S175" i="12" s="1"/>
  <c r="L175" i="12"/>
  <c r="I175" i="12"/>
  <c r="H175" i="12"/>
  <c r="G175" i="12"/>
  <c r="F175" i="12"/>
  <c r="E175" i="12"/>
  <c r="D175" i="12"/>
  <c r="J175" i="12" s="1"/>
  <c r="C175" i="12"/>
  <c r="AW174" i="12"/>
  <c r="AX174" i="12" s="1"/>
  <c r="AV174" i="12"/>
  <c r="AS174" i="12"/>
  <c r="AR174" i="12"/>
  <c r="AQ174" i="12"/>
  <c r="AP174" i="12"/>
  <c r="AO174" i="12"/>
  <c r="AN174" i="12"/>
  <c r="AT174" i="12" s="1"/>
  <c r="AM174" i="12"/>
  <c r="AJ174" i="12"/>
  <c r="AI174" i="12"/>
  <c r="AH174" i="12"/>
  <c r="AG174" i="12"/>
  <c r="AF174" i="12"/>
  <c r="AE174" i="12"/>
  <c r="AK174" i="12" s="1"/>
  <c r="AD174" i="12"/>
  <c r="AA174" i="12"/>
  <c r="Z174" i="12"/>
  <c r="Y174" i="12"/>
  <c r="X174" i="12"/>
  <c r="W174" i="12"/>
  <c r="V174" i="12"/>
  <c r="AB174" i="12" s="1"/>
  <c r="U174" i="12"/>
  <c r="R174" i="12"/>
  <c r="Q174" i="12"/>
  <c r="P174" i="12"/>
  <c r="O174" i="12"/>
  <c r="N174" i="12"/>
  <c r="M174" i="12"/>
  <c r="S174" i="12" s="1"/>
  <c r="L174" i="12"/>
  <c r="I174" i="12"/>
  <c r="H174" i="12"/>
  <c r="G174" i="12"/>
  <c r="F174" i="12"/>
  <c r="E174" i="12"/>
  <c r="D174" i="12"/>
  <c r="J174" i="12" s="1"/>
  <c r="C174" i="12"/>
  <c r="AX173" i="12"/>
  <c r="AW173" i="12"/>
  <c r="AV173" i="12"/>
  <c r="AS173" i="12"/>
  <c r="AR173" i="12"/>
  <c r="AQ173" i="12"/>
  <c r="AP173" i="12"/>
  <c r="AO173" i="12"/>
  <c r="AN173" i="12"/>
  <c r="AT173" i="12" s="1"/>
  <c r="AM173" i="12"/>
  <c r="AJ173" i="12"/>
  <c r="AI173" i="12"/>
  <c r="AH173" i="12"/>
  <c r="AG173" i="12"/>
  <c r="AF173" i="12"/>
  <c r="AE173" i="12"/>
  <c r="AK173" i="12" s="1"/>
  <c r="AD173" i="12"/>
  <c r="AA173" i="12"/>
  <c r="Z173" i="12"/>
  <c r="Y173" i="12"/>
  <c r="X173" i="12"/>
  <c r="W173" i="12"/>
  <c r="V173" i="12"/>
  <c r="AB173" i="12" s="1"/>
  <c r="U173" i="12"/>
  <c r="R173" i="12"/>
  <c r="Q173" i="12"/>
  <c r="P173" i="12"/>
  <c r="O173" i="12"/>
  <c r="N173" i="12"/>
  <c r="M173" i="12"/>
  <c r="S173" i="12" s="1"/>
  <c r="L173" i="12"/>
  <c r="I173" i="12"/>
  <c r="H173" i="12"/>
  <c r="G173" i="12"/>
  <c r="F173" i="12"/>
  <c r="E173" i="12"/>
  <c r="D173" i="12"/>
  <c r="J173" i="12" s="1"/>
  <c r="C173" i="12"/>
  <c r="AX172" i="12"/>
  <c r="AT172" i="12"/>
  <c r="AK172" i="12"/>
  <c r="AB172" i="12"/>
  <c r="S172" i="12"/>
  <c r="J172" i="12"/>
  <c r="AY172" i="12" s="1"/>
  <c r="AW171" i="12"/>
  <c r="AV171" i="12"/>
  <c r="AX171" i="12" s="1"/>
  <c r="AS171" i="12"/>
  <c r="AR171" i="12"/>
  <c r="AQ171" i="12"/>
  <c r="AP171" i="12"/>
  <c r="AO171" i="12"/>
  <c r="AN171" i="12"/>
  <c r="AM171" i="12"/>
  <c r="AT171" i="12" s="1"/>
  <c r="AJ171" i="12"/>
  <c r="AI171" i="12"/>
  <c r="AH171" i="12"/>
  <c r="AG171" i="12"/>
  <c r="AF171" i="12"/>
  <c r="AE171" i="12"/>
  <c r="AD171" i="12"/>
  <c r="AK171" i="12" s="1"/>
  <c r="AA171" i="12"/>
  <c r="Z171" i="12"/>
  <c r="Y171" i="12"/>
  <c r="X171" i="12"/>
  <c r="W171" i="12"/>
  <c r="V171" i="12"/>
  <c r="U171" i="12"/>
  <c r="AB171" i="12" s="1"/>
  <c r="R171" i="12"/>
  <c r="Q171" i="12"/>
  <c r="P171" i="12"/>
  <c r="O171" i="12"/>
  <c r="N171" i="12"/>
  <c r="M171" i="12"/>
  <c r="L171" i="12"/>
  <c r="S171" i="12" s="1"/>
  <c r="I171" i="12"/>
  <c r="H171" i="12"/>
  <c r="G171" i="12"/>
  <c r="F171" i="12"/>
  <c r="E171" i="12"/>
  <c r="D171" i="12"/>
  <c r="C171" i="12"/>
  <c r="J171" i="12" s="1"/>
  <c r="AW170" i="12"/>
  <c r="AV170" i="12"/>
  <c r="AX170" i="12" s="1"/>
  <c r="AS170" i="12"/>
  <c r="AR170" i="12"/>
  <c r="AQ170" i="12"/>
  <c r="AP170" i="12"/>
  <c r="AO170" i="12"/>
  <c r="AN170" i="12"/>
  <c r="AM170" i="12"/>
  <c r="AT170" i="12" s="1"/>
  <c r="AJ170" i="12"/>
  <c r="AI170" i="12"/>
  <c r="AH170" i="12"/>
  <c r="AG170" i="12"/>
  <c r="AF170" i="12"/>
  <c r="AE170" i="12"/>
  <c r="AD170" i="12"/>
  <c r="AK170" i="12" s="1"/>
  <c r="AA170" i="12"/>
  <c r="Z170" i="12"/>
  <c r="Y170" i="12"/>
  <c r="X170" i="12"/>
  <c r="W170" i="12"/>
  <c r="V170" i="12"/>
  <c r="U170" i="12"/>
  <c r="AB170" i="12" s="1"/>
  <c r="R170" i="12"/>
  <c r="Q170" i="12"/>
  <c r="P170" i="12"/>
  <c r="O170" i="12"/>
  <c r="N170" i="12"/>
  <c r="M170" i="12"/>
  <c r="L170" i="12"/>
  <c r="S170" i="12" s="1"/>
  <c r="I170" i="12"/>
  <c r="H170" i="12"/>
  <c r="G170" i="12"/>
  <c r="F170" i="12"/>
  <c r="E170" i="12"/>
  <c r="D170" i="12"/>
  <c r="C170" i="12"/>
  <c r="J170" i="12" s="1"/>
  <c r="AY170" i="12" s="1"/>
  <c r="AW168" i="12"/>
  <c r="AV168" i="12"/>
  <c r="AS168" i="12"/>
  <c r="AR168" i="12"/>
  <c r="AQ168" i="12"/>
  <c r="AP168" i="12"/>
  <c r="AO168" i="12"/>
  <c r="AN168" i="12"/>
  <c r="AM168" i="12"/>
  <c r="AJ168" i="12"/>
  <c r="AI168" i="12"/>
  <c r="AH168" i="12"/>
  <c r="AG168" i="12"/>
  <c r="AF168" i="12"/>
  <c r="AE168" i="12"/>
  <c r="AD168" i="12"/>
  <c r="AA168" i="12"/>
  <c r="Z168" i="12"/>
  <c r="Y168" i="12"/>
  <c r="X168" i="12"/>
  <c r="W168" i="12"/>
  <c r="V168" i="12"/>
  <c r="U168" i="12"/>
  <c r="R168" i="12"/>
  <c r="Q168" i="12"/>
  <c r="P168" i="12"/>
  <c r="O168" i="12"/>
  <c r="N168" i="12"/>
  <c r="M168" i="12"/>
  <c r="L168" i="12"/>
  <c r="I168" i="12"/>
  <c r="H168" i="12"/>
  <c r="G168" i="12"/>
  <c r="F168" i="12"/>
  <c r="E168" i="12"/>
  <c r="D168" i="12"/>
  <c r="C168" i="12"/>
  <c r="AR166" i="12"/>
  <c r="Z166" i="12"/>
  <c r="H166" i="12"/>
  <c r="AX163" i="12"/>
  <c r="AW163" i="12"/>
  <c r="AV163" i="12"/>
  <c r="AT163" i="12"/>
  <c r="AS163" i="12"/>
  <c r="AR163" i="12"/>
  <c r="AQ163" i="12"/>
  <c r="AP163" i="12"/>
  <c r="AO163" i="12"/>
  <c r="AN163" i="12"/>
  <c r="AM163" i="12"/>
  <c r="AK163" i="12"/>
  <c r="AJ163" i="12"/>
  <c r="AI163" i="12"/>
  <c r="AH163" i="12"/>
  <c r="AG163" i="12"/>
  <c r="AF163" i="12"/>
  <c r="AE163" i="12"/>
  <c r="AD163" i="12"/>
  <c r="AB163" i="12"/>
  <c r="AA163" i="12"/>
  <c r="Z163" i="12"/>
  <c r="Y163" i="12"/>
  <c r="X163" i="12"/>
  <c r="W163" i="12"/>
  <c r="V163" i="12"/>
  <c r="U163" i="12"/>
  <c r="S163" i="12"/>
  <c r="R163" i="12"/>
  <c r="Q163" i="12"/>
  <c r="P163" i="12"/>
  <c r="O163" i="12"/>
  <c r="N163" i="12"/>
  <c r="M163" i="12"/>
  <c r="L163" i="12"/>
  <c r="J163" i="12"/>
  <c r="AY163" i="12" s="1"/>
  <c r="I163" i="12"/>
  <c r="H163" i="12"/>
  <c r="G163" i="12"/>
  <c r="F163" i="12"/>
  <c r="E163" i="12"/>
  <c r="D163" i="12"/>
  <c r="C163" i="12"/>
  <c r="AY162" i="12"/>
  <c r="AX162" i="12"/>
  <c r="AT162" i="12"/>
  <c r="AK162" i="12"/>
  <c r="AB162" i="12"/>
  <c r="S162" i="12"/>
  <c r="J162" i="12"/>
  <c r="AX161" i="12"/>
  <c r="AT161" i="12"/>
  <c r="AK161" i="12"/>
  <c r="AB161" i="12"/>
  <c r="S161" i="12"/>
  <c r="J161" i="12"/>
  <c r="AY161" i="12" s="1"/>
  <c r="AX160" i="12"/>
  <c r="AT160" i="12"/>
  <c r="AK160" i="12"/>
  <c r="AB160" i="12"/>
  <c r="S160" i="12"/>
  <c r="AY160" i="12" s="1"/>
  <c r="J160" i="12"/>
  <c r="AX159" i="12"/>
  <c r="AT159" i="12"/>
  <c r="AK159" i="12"/>
  <c r="AY159" i="12" s="1"/>
  <c r="AB159" i="12"/>
  <c r="S159" i="12"/>
  <c r="J159" i="12"/>
  <c r="AX158" i="12"/>
  <c r="AW158" i="12"/>
  <c r="AV158" i="12"/>
  <c r="AT158" i="12"/>
  <c r="AS158" i="12"/>
  <c r="AR158" i="12"/>
  <c r="AQ158" i="12"/>
  <c r="AP158" i="12"/>
  <c r="AO158" i="12"/>
  <c r="AN158" i="12"/>
  <c r="AM158" i="12"/>
  <c r="AK158" i="12"/>
  <c r="AJ158" i="12"/>
  <c r="AI158" i="12"/>
  <c r="AH158" i="12"/>
  <c r="AG158" i="12"/>
  <c r="AF158" i="12"/>
  <c r="AE158" i="12"/>
  <c r="AD158" i="12"/>
  <c r="AB158" i="12"/>
  <c r="AA158" i="12"/>
  <c r="Z158" i="12"/>
  <c r="Y158" i="12"/>
  <c r="X158" i="12"/>
  <c r="W158" i="12"/>
  <c r="V158" i="12"/>
  <c r="U158" i="12"/>
  <c r="S158" i="12"/>
  <c r="R158" i="12"/>
  <c r="Q158" i="12"/>
  <c r="P158" i="12"/>
  <c r="O158" i="12"/>
  <c r="N158" i="12"/>
  <c r="M158" i="12"/>
  <c r="L158" i="12"/>
  <c r="J158" i="12"/>
  <c r="AY158" i="12" s="1"/>
  <c r="I158" i="12"/>
  <c r="H158" i="12"/>
  <c r="G158" i="12"/>
  <c r="F158" i="12"/>
  <c r="E158" i="12"/>
  <c r="D158" i="12"/>
  <c r="C158" i="12"/>
  <c r="AW157" i="12"/>
  <c r="AV157" i="12"/>
  <c r="AX157" i="12" s="1"/>
  <c r="AS157" i="12"/>
  <c r="AR157" i="12"/>
  <c r="AQ157" i="12"/>
  <c r="AP157" i="12"/>
  <c r="AT157" i="12" s="1"/>
  <c r="AO157" i="12"/>
  <c r="AN157" i="12"/>
  <c r="AM157" i="12"/>
  <c r="AJ157" i="12"/>
  <c r="AI157" i="12"/>
  <c r="AH157" i="12"/>
  <c r="AG157" i="12"/>
  <c r="AK157" i="12" s="1"/>
  <c r="AF157" i="12"/>
  <c r="AE157" i="12"/>
  <c r="AD157" i="12"/>
  <c r="AA157" i="12"/>
  <c r="Z157" i="12"/>
  <c r="Y157" i="12"/>
  <c r="X157" i="12"/>
  <c r="AB157" i="12" s="1"/>
  <c r="W157" i="12"/>
  <c r="V157" i="12"/>
  <c r="U157" i="12"/>
  <c r="R157" i="12"/>
  <c r="Q157" i="12"/>
  <c r="P157" i="12"/>
  <c r="O157" i="12"/>
  <c r="S157" i="12" s="1"/>
  <c r="N157" i="12"/>
  <c r="M157" i="12"/>
  <c r="L157" i="12"/>
  <c r="I157" i="12"/>
  <c r="H157" i="12"/>
  <c r="G157" i="12"/>
  <c r="F157" i="12"/>
  <c r="J157" i="12" s="1"/>
  <c r="E157" i="12"/>
  <c r="D157" i="12"/>
  <c r="C157" i="12"/>
  <c r="AX156" i="12"/>
  <c r="AW156" i="12"/>
  <c r="AV156" i="12"/>
  <c r="AT156" i="12"/>
  <c r="AS156" i="12"/>
  <c r="AR156" i="12"/>
  <c r="AQ156" i="12"/>
  <c r="AP156" i="12"/>
  <c r="AO156" i="12"/>
  <c r="AN156" i="12"/>
  <c r="AM156" i="12"/>
  <c r="AK156" i="12"/>
  <c r="AJ156" i="12"/>
  <c r="AI156" i="12"/>
  <c r="AH156" i="12"/>
  <c r="AG156" i="12"/>
  <c r="AF156" i="12"/>
  <c r="AE156" i="12"/>
  <c r="AD156" i="12"/>
  <c r="AB156" i="12"/>
  <c r="AA156" i="12"/>
  <c r="Z156" i="12"/>
  <c r="Y156" i="12"/>
  <c r="X156" i="12"/>
  <c r="W156" i="12"/>
  <c r="V156" i="12"/>
  <c r="U156" i="12"/>
  <c r="S156" i="12"/>
  <c r="R156" i="12"/>
  <c r="Q156" i="12"/>
  <c r="P156" i="12"/>
  <c r="O156" i="12"/>
  <c r="N156" i="12"/>
  <c r="M156" i="12"/>
  <c r="L156" i="12"/>
  <c r="J156" i="12"/>
  <c r="AY156" i="12" s="1"/>
  <c r="I156" i="12"/>
  <c r="H156" i="12"/>
  <c r="G156" i="12"/>
  <c r="F156" i="12"/>
  <c r="E156" i="12"/>
  <c r="D156" i="12"/>
  <c r="C156" i="12"/>
  <c r="AW155" i="12"/>
  <c r="AV155" i="12"/>
  <c r="AX155" i="12" s="1"/>
  <c r="AS155" i="12"/>
  <c r="AR155" i="12"/>
  <c r="AQ155" i="12"/>
  <c r="AP155" i="12"/>
  <c r="AT155" i="12" s="1"/>
  <c r="AO155" i="12"/>
  <c r="AN155" i="12"/>
  <c r="AM155" i="12"/>
  <c r="AJ155" i="12"/>
  <c r="AI155" i="12"/>
  <c r="AH155" i="12"/>
  <c r="AG155" i="12"/>
  <c r="AK155" i="12" s="1"/>
  <c r="AF155" i="12"/>
  <c r="AE155" i="12"/>
  <c r="AD155" i="12"/>
  <c r="AA155" i="12"/>
  <c r="Z155" i="12"/>
  <c r="Y155" i="12"/>
  <c r="X155" i="12"/>
  <c r="AB155" i="12" s="1"/>
  <c r="W155" i="12"/>
  <c r="V155" i="12"/>
  <c r="U155" i="12"/>
  <c r="R155" i="12"/>
  <c r="Q155" i="12"/>
  <c r="P155" i="12"/>
  <c r="O155" i="12"/>
  <c r="S155" i="12" s="1"/>
  <c r="N155" i="12"/>
  <c r="M155" i="12"/>
  <c r="L155" i="12"/>
  <c r="I155" i="12"/>
  <c r="H155" i="12"/>
  <c r="G155" i="12"/>
  <c r="F155" i="12"/>
  <c r="J155" i="12" s="1"/>
  <c r="E155" i="12"/>
  <c r="D155" i="12"/>
  <c r="C155" i="12"/>
  <c r="AX154" i="12"/>
  <c r="AT154" i="12"/>
  <c r="AK154" i="12"/>
  <c r="AB154" i="12"/>
  <c r="AY154" i="12" s="1"/>
  <c r="S154" i="12"/>
  <c r="J154" i="12"/>
  <c r="AX153" i="12"/>
  <c r="AW153" i="12"/>
  <c r="AV153" i="12"/>
  <c r="AS153" i="12"/>
  <c r="AR153" i="12"/>
  <c r="AQ153" i="12"/>
  <c r="AP153" i="12"/>
  <c r="AO153" i="12"/>
  <c r="AN153" i="12"/>
  <c r="AM153" i="12"/>
  <c r="AT153" i="12" s="1"/>
  <c r="AJ153" i="12"/>
  <c r="AI153" i="12"/>
  <c r="AH153" i="12"/>
  <c r="AG153" i="12"/>
  <c r="AF153" i="12"/>
  <c r="AE153" i="12"/>
  <c r="AD153" i="12"/>
  <c r="AK153" i="12" s="1"/>
  <c r="AA153" i="12"/>
  <c r="Z153" i="12"/>
  <c r="Y153" i="12"/>
  <c r="X153" i="12"/>
  <c r="W153" i="12"/>
  <c r="V153" i="12"/>
  <c r="U153" i="12"/>
  <c r="AB153" i="12" s="1"/>
  <c r="R153" i="12"/>
  <c r="Q153" i="12"/>
  <c r="P153" i="12"/>
  <c r="O153" i="12"/>
  <c r="N153" i="12"/>
  <c r="M153" i="12"/>
  <c r="L153" i="12"/>
  <c r="S153" i="12" s="1"/>
  <c r="I153" i="12"/>
  <c r="H153" i="12"/>
  <c r="G153" i="12"/>
  <c r="F153" i="12"/>
  <c r="E153" i="12"/>
  <c r="D153" i="12"/>
  <c r="C153" i="12"/>
  <c r="J153" i="12" s="1"/>
  <c r="AY153" i="12" s="1"/>
  <c r="AX152" i="12"/>
  <c r="AW152" i="12"/>
  <c r="AV152" i="12"/>
  <c r="AS152" i="12"/>
  <c r="AR152" i="12"/>
  <c r="AQ152" i="12"/>
  <c r="AP152" i="12"/>
  <c r="AO152" i="12"/>
  <c r="AT152" i="12" s="1"/>
  <c r="AN152" i="12"/>
  <c r="AM152" i="12"/>
  <c r="AJ152" i="12"/>
  <c r="AI152" i="12"/>
  <c r="AH152" i="12"/>
  <c r="AG152" i="12"/>
  <c r="AF152" i="12"/>
  <c r="AK152" i="12" s="1"/>
  <c r="AE152" i="12"/>
  <c r="AD152" i="12"/>
  <c r="AA152" i="12"/>
  <c r="Z152" i="12"/>
  <c r="Y152" i="12"/>
  <c r="X152" i="12"/>
  <c r="W152" i="12"/>
  <c r="AB152" i="12" s="1"/>
  <c r="V152" i="12"/>
  <c r="U152" i="12"/>
  <c r="R152" i="12"/>
  <c r="Q152" i="12"/>
  <c r="P152" i="12"/>
  <c r="O152" i="12"/>
  <c r="N152" i="12"/>
  <c r="S152" i="12" s="1"/>
  <c r="M152" i="12"/>
  <c r="L152" i="12"/>
  <c r="I152" i="12"/>
  <c r="H152" i="12"/>
  <c r="G152" i="12"/>
  <c r="F152" i="12"/>
  <c r="E152" i="12"/>
  <c r="J152" i="12" s="1"/>
  <c r="D152" i="12"/>
  <c r="C152" i="12"/>
  <c r="AW150" i="12"/>
  <c r="AV150" i="12"/>
  <c r="AS150" i="12"/>
  <c r="AR150" i="12"/>
  <c r="AQ150" i="12"/>
  <c r="AP150" i="12"/>
  <c r="AO150" i="12"/>
  <c r="AN150" i="12"/>
  <c r="AM150" i="12"/>
  <c r="AJ150" i="12"/>
  <c r="AI150" i="12"/>
  <c r="AH150" i="12"/>
  <c r="AG150" i="12"/>
  <c r="AF150" i="12"/>
  <c r="AE150" i="12"/>
  <c r="AD150" i="12"/>
  <c r="AA150" i="12"/>
  <c r="Z150" i="12"/>
  <c r="Y150" i="12"/>
  <c r="X150" i="12"/>
  <c r="W150" i="12"/>
  <c r="V150" i="12"/>
  <c r="U150" i="12"/>
  <c r="R150" i="12"/>
  <c r="Q150" i="12"/>
  <c r="P150" i="12"/>
  <c r="O150" i="12"/>
  <c r="N150" i="12"/>
  <c r="M150" i="12"/>
  <c r="L150" i="12"/>
  <c r="I150" i="12"/>
  <c r="H150" i="12"/>
  <c r="G150" i="12"/>
  <c r="F150" i="12"/>
  <c r="E150" i="12"/>
  <c r="D150" i="12"/>
  <c r="C150" i="12"/>
  <c r="AR148" i="12"/>
  <c r="Z148" i="12"/>
  <c r="H148" i="12"/>
  <c r="AW145" i="12"/>
  <c r="AV145" i="12"/>
  <c r="AX145" i="12" s="1"/>
  <c r="AS145" i="12"/>
  <c r="AR145" i="12"/>
  <c r="AQ145" i="12"/>
  <c r="AP145" i="12"/>
  <c r="AO145" i="12"/>
  <c r="AN145" i="12"/>
  <c r="AM145" i="12"/>
  <c r="AT145" i="12" s="1"/>
  <c r="AJ145" i="12"/>
  <c r="AI145" i="12"/>
  <c r="AH145" i="12"/>
  <c r="AG145" i="12"/>
  <c r="AF145" i="12"/>
  <c r="AE145" i="12"/>
  <c r="AD145" i="12"/>
  <c r="AK145" i="12" s="1"/>
  <c r="AA145" i="12"/>
  <c r="Z145" i="12"/>
  <c r="Y145" i="12"/>
  <c r="X145" i="12"/>
  <c r="W145" i="12"/>
  <c r="V145" i="12"/>
  <c r="U145" i="12"/>
  <c r="AB145" i="12" s="1"/>
  <c r="R145" i="12"/>
  <c r="Q145" i="12"/>
  <c r="P145" i="12"/>
  <c r="O145" i="12"/>
  <c r="N145" i="12"/>
  <c r="M145" i="12"/>
  <c r="L145" i="12"/>
  <c r="S145" i="12" s="1"/>
  <c r="I145" i="12"/>
  <c r="H145" i="12"/>
  <c r="G145" i="12"/>
  <c r="F145" i="12"/>
  <c r="E145" i="12"/>
  <c r="D145" i="12"/>
  <c r="C145" i="12"/>
  <c r="J145" i="12" s="1"/>
  <c r="AX144" i="12"/>
  <c r="AT144" i="12"/>
  <c r="AK144" i="12"/>
  <c r="AB144" i="12"/>
  <c r="S144" i="12"/>
  <c r="J144" i="12"/>
  <c r="AY144" i="12" s="1"/>
  <c r="AY143" i="12"/>
  <c r="AX143" i="12"/>
  <c r="AT143" i="12"/>
  <c r="AK143" i="12"/>
  <c r="AB143" i="12"/>
  <c r="S143" i="12"/>
  <c r="J143" i="12"/>
  <c r="AX142" i="12"/>
  <c r="AT142" i="12"/>
  <c r="AK142" i="12"/>
  <c r="AB142" i="12"/>
  <c r="S142" i="12"/>
  <c r="J142" i="12"/>
  <c r="AY142" i="12" s="1"/>
  <c r="AX141" i="12"/>
  <c r="AT141" i="12"/>
  <c r="AK141" i="12"/>
  <c r="AB141" i="12"/>
  <c r="S141" i="12"/>
  <c r="J141" i="12"/>
  <c r="AY141" i="12" s="1"/>
  <c r="AW140" i="12"/>
  <c r="AV140" i="12"/>
  <c r="AX140" i="12" s="1"/>
  <c r="AS140" i="12"/>
  <c r="AR140" i="12"/>
  <c r="AQ140" i="12"/>
  <c r="AP140" i="12"/>
  <c r="AO140" i="12"/>
  <c r="AN140" i="12"/>
  <c r="AM140" i="12"/>
  <c r="AT140" i="12" s="1"/>
  <c r="AJ140" i="12"/>
  <c r="AI140" i="12"/>
  <c r="AH140" i="12"/>
  <c r="AG140" i="12"/>
  <c r="AF140" i="12"/>
  <c r="AE140" i="12"/>
  <c r="AD140" i="12"/>
  <c r="AK140" i="12" s="1"/>
  <c r="AA140" i="12"/>
  <c r="Z140" i="12"/>
  <c r="Y140" i="12"/>
  <c r="X140" i="12"/>
  <c r="W140" i="12"/>
  <c r="V140" i="12"/>
  <c r="U140" i="12"/>
  <c r="AB140" i="12" s="1"/>
  <c r="R140" i="12"/>
  <c r="Q140" i="12"/>
  <c r="P140" i="12"/>
  <c r="O140" i="12"/>
  <c r="N140" i="12"/>
  <c r="M140" i="12"/>
  <c r="L140" i="12"/>
  <c r="S140" i="12" s="1"/>
  <c r="I140" i="12"/>
  <c r="H140" i="12"/>
  <c r="G140" i="12"/>
  <c r="F140" i="12"/>
  <c r="E140" i="12"/>
  <c r="D140" i="12"/>
  <c r="C140" i="12"/>
  <c r="J140" i="12" s="1"/>
  <c r="AW139" i="12"/>
  <c r="AV139" i="12"/>
  <c r="AX139" i="12" s="1"/>
  <c r="AS139" i="12"/>
  <c r="AR139" i="12"/>
  <c r="AQ139" i="12"/>
  <c r="AP139" i="12"/>
  <c r="AO139" i="12"/>
  <c r="AN139" i="12"/>
  <c r="AM139" i="12"/>
  <c r="AT139" i="12" s="1"/>
  <c r="AJ139" i="12"/>
  <c r="AI139" i="12"/>
  <c r="AH139" i="12"/>
  <c r="AG139" i="12"/>
  <c r="AF139" i="12"/>
  <c r="AE139" i="12"/>
  <c r="AD139" i="12"/>
  <c r="AK139" i="12" s="1"/>
  <c r="AA139" i="12"/>
  <c r="Z139" i="12"/>
  <c r="Y139" i="12"/>
  <c r="X139" i="12"/>
  <c r="W139" i="12"/>
  <c r="V139" i="12"/>
  <c r="U139" i="12"/>
  <c r="AB139" i="12" s="1"/>
  <c r="R139" i="12"/>
  <c r="Q139" i="12"/>
  <c r="P139" i="12"/>
  <c r="O139" i="12"/>
  <c r="N139" i="12"/>
  <c r="M139" i="12"/>
  <c r="L139" i="12"/>
  <c r="S139" i="12" s="1"/>
  <c r="I139" i="12"/>
  <c r="H139" i="12"/>
  <c r="G139" i="12"/>
  <c r="F139" i="12"/>
  <c r="E139" i="12"/>
  <c r="D139" i="12"/>
  <c r="C139" i="12"/>
  <c r="J139" i="12" s="1"/>
  <c r="AW138" i="12"/>
  <c r="AV138" i="12"/>
  <c r="AX138" i="12" s="1"/>
  <c r="AS138" i="12"/>
  <c r="AR138" i="12"/>
  <c r="AQ138" i="12"/>
  <c r="AP138" i="12"/>
  <c r="AO138" i="12"/>
  <c r="AN138" i="12"/>
  <c r="AM138" i="12"/>
  <c r="AT138" i="12" s="1"/>
  <c r="AJ138" i="12"/>
  <c r="AI138" i="12"/>
  <c r="AH138" i="12"/>
  <c r="AG138" i="12"/>
  <c r="AF138" i="12"/>
  <c r="AE138" i="12"/>
  <c r="AD138" i="12"/>
  <c r="AK138" i="12" s="1"/>
  <c r="AA138" i="12"/>
  <c r="Z138" i="12"/>
  <c r="Y138" i="12"/>
  <c r="X138" i="12"/>
  <c r="W138" i="12"/>
  <c r="V138" i="12"/>
  <c r="U138" i="12"/>
  <c r="AB138" i="12" s="1"/>
  <c r="R138" i="12"/>
  <c r="Q138" i="12"/>
  <c r="P138" i="12"/>
  <c r="O138" i="12"/>
  <c r="N138" i="12"/>
  <c r="M138" i="12"/>
  <c r="L138" i="12"/>
  <c r="S138" i="12" s="1"/>
  <c r="I138" i="12"/>
  <c r="H138" i="12"/>
  <c r="G138" i="12"/>
  <c r="F138" i="12"/>
  <c r="E138" i="12"/>
  <c r="D138" i="12"/>
  <c r="C138" i="12"/>
  <c r="J138" i="12" s="1"/>
  <c r="AW137" i="12"/>
  <c r="AV137" i="12"/>
  <c r="AX137" i="12" s="1"/>
  <c r="AS137" i="12"/>
  <c r="AR137" i="12"/>
  <c r="AQ137" i="12"/>
  <c r="AP137" i="12"/>
  <c r="AO137" i="12"/>
  <c r="AN137" i="12"/>
  <c r="AM137" i="12"/>
  <c r="AT137" i="12" s="1"/>
  <c r="AJ137" i="12"/>
  <c r="AI137" i="12"/>
  <c r="AH137" i="12"/>
  <c r="AG137" i="12"/>
  <c r="AF137" i="12"/>
  <c r="AE137" i="12"/>
  <c r="AD137" i="12"/>
  <c r="AK137" i="12" s="1"/>
  <c r="AA137" i="12"/>
  <c r="Z137" i="12"/>
  <c r="Y137" i="12"/>
  <c r="X137" i="12"/>
  <c r="W137" i="12"/>
  <c r="V137" i="12"/>
  <c r="U137" i="12"/>
  <c r="AB137" i="12" s="1"/>
  <c r="R137" i="12"/>
  <c r="Q137" i="12"/>
  <c r="P137" i="12"/>
  <c r="O137" i="12"/>
  <c r="N137" i="12"/>
  <c r="M137" i="12"/>
  <c r="L137" i="12"/>
  <c r="S137" i="12" s="1"/>
  <c r="I137" i="12"/>
  <c r="H137" i="12"/>
  <c r="G137" i="12"/>
  <c r="F137" i="12"/>
  <c r="E137" i="12"/>
  <c r="D137" i="12"/>
  <c r="C137" i="12"/>
  <c r="J137" i="12" s="1"/>
  <c r="AY137" i="12" s="1"/>
  <c r="AX136" i="12"/>
  <c r="AT136" i="12"/>
  <c r="AK136" i="12"/>
  <c r="AY136" i="12" s="1"/>
  <c r="AB136" i="12"/>
  <c r="S136" i="12"/>
  <c r="J136" i="12"/>
  <c r="AW135" i="12"/>
  <c r="AV135" i="12"/>
  <c r="AX135" i="12" s="1"/>
  <c r="AT135" i="12"/>
  <c r="AS135" i="12"/>
  <c r="AR135" i="12"/>
  <c r="AQ135" i="12"/>
  <c r="AP135" i="12"/>
  <c r="AO135" i="12"/>
  <c r="AN135" i="12"/>
  <c r="AM135" i="12"/>
  <c r="AK135" i="12"/>
  <c r="AJ135" i="12"/>
  <c r="AI135" i="12"/>
  <c r="AH135" i="12"/>
  <c r="AG135" i="12"/>
  <c r="AF135" i="12"/>
  <c r="AE135" i="12"/>
  <c r="AD135" i="12"/>
  <c r="AB135" i="12"/>
  <c r="AA135" i="12"/>
  <c r="Z135" i="12"/>
  <c r="Y135" i="12"/>
  <c r="X135" i="12"/>
  <c r="W135" i="12"/>
  <c r="V135" i="12"/>
  <c r="U135" i="12"/>
  <c r="S135" i="12"/>
  <c r="R135" i="12"/>
  <c r="Q135" i="12"/>
  <c r="P135" i="12"/>
  <c r="O135" i="12"/>
  <c r="N135" i="12"/>
  <c r="M135" i="12"/>
  <c r="L135" i="12"/>
  <c r="J135" i="12"/>
  <c r="I135" i="12"/>
  <c r="H135" i="12"/>
  <c r="G135" i="12"/>
  <c r="F135" i="12"/>
  <c r="E135" i="12"/>
  <c r="D135" i="12"/>
  <c r="C135" i="12"/>
  <c r="AW134" i="12"/>
  <c r="AV134" i="12"/>
  <c r="AX134" i="12" s="1"/>
  <c r="AS134" i="12"/>
  <c r="AR134" i="12"/>
  <c r="AQ134" i="12"/>
  <c r="AP134" i="12"/>
  <c r="AT134" i="12" s="1"/>
  <c r="AO134" i="12"/>
  <c r="AN134" i="12"/>
  <c r="AM134" i="12"/>
  <c r="AJ134" i="12"/>
  <c r="AI134" i="12"/>
  <c r="AH134" i="12"/>
  <c r="AG134" i="12"/>
  <c r="AK134" i="12" s="1"/>
  <c r="AF134" i="12"/>
  <c r="AE134" i="12"/>
  <c r="AD134" i="12"/>
  <c r="AA134" i="12"/>
  <c r="Z134" i="12"/>
  <c r="Y134" i="12"/>
  <c r="X134" i="12"/>
  <c r="AB134" i="12" s="1"/>
  <c r="W134" i="12"/>
  <c r="V134" i="12"/>
  <c r="U134" i="12"/>
  <c r="R134" i="12"/>
  <c r="Q134" i="12"/>
  <c r="P134" i="12"/>
  <c r="O134" i="12"/>
  <c r="S134" i="12" s="1"/>
  <c r="N134" i="12"/>
  <c r="M134" i="12"/>
  <c r="L134" i="12"/>
  <c r="I134" i="12"/>
  <c r="H134" i="12"/>
  <c r="G134" i="12"/>
  <c r="F134" i="12"/>
  <c r="J134" i="12" s="1"/>
  <c r="E134" i="12"/>
  <c r="D134" i="12"/>
  <c r="C134" i="12"/>
  <c r="AW132" i="12"/>
  <c r="AV132" i="12"/>
  <c r="AS132" i="12"/>
  <c r="AR132" i="12"/>
  <c r="AQ132" i="12"/>
  <c r="AP132" i="12"/>
  <c r="AO132" i="12"/>
  <c r="AN132" i="12"/>
  <c r="AM132" i="12"/>
  <c r="AJ132" i="12"/>
  <c r="AI132" i="12"/>
  <c r="AH132" i="12"/>
  <c r="AG132" i="12"/>
  <c r="AF132" i="12"/>
  <c r="AE132" i="12"/>
  <c r="AD132" i="12"/>
  <c r="AA132" i="12"/>
  <c r="Z132" i="12"/>
  <c r="Y132" i="12"/>
  <c r="X132" i="12"/>
  <c r="W132" i="12"/>
  <c r="V132" i="12"/>
  <c r="U132" i="12"/>
  <c r="R132" i="12"/>
  <c r="Q132" i="12"/>
  <c r="P132" i="12"/>
  <c r="O132" i="12"/>
  <c r="N132" i="12"/>
  <c r="M132" i="12"/>
  <c r="L132" i="12"/>
  <c r="I132" i="12"/>
  <c r="H132" i="12"/>
  <c r="G132" i="12"/>
  <c r="F132" i="12"/>
  <c r="E132" i="12"/>
  <c r="D132" i="12"/>
  <c r="C132" i="12"/>
  <c r="AR130" i="12"/>
  <c r="Z130" i="12"/>
  <c r="H130" i="12"/>
  <c r="AW127" i="12"/>
  <c r="AX127" i="12" s="1"/>
  <c r="AV127" i="12"/>
  <c r="AS127" i="12"/>
  <c r="AR127" i="12"/>
  <c r="AQ127" i="12"/>
  <c r="AP127" i="12"/>
  <c r="AO127" i="12"/>
  <c r="AN127" i="12"/>
  <c r="AT127" i="12" s="1"/>
  <c r="AM127" i="12"/>
  <c r="AJ127" i="12"/>
  <c r="AI127" i="12"/>
  <c r="AH127" i="12"/>
  <c r="AG127" i="12"/>
  <c r="AF127" i="12"/>
  <c r="AE127" i="12"/>
  <c r="AK127" i="12" s="1"/>
  <c r="AD127" i="12"/>
  <c r="AA127" i="12"/>
  <c r="Z127" i="12"/>
  <c r="Y127" i="12"/>
  <c r="X127" i="12"/>
  <c r="W127" i="12"/>
  <c r="V127" i="12"/>
  <c r="AB127" i="12" s="1"/>
  <c r="U127" i="12"/>
  <c r="R127" i="12"/>
  <c r="Q127" i="12"/>
  <c r="P127" i="12"/>
  <c r="O127" i="12"/>
  <c r="N127" i="12"/>
  <c r="M127" i="12"/>
  <c r="S127" i="12" s="1"/>
  <c r="L127" i="12"/>
  <c r="I127" i="12"/>
  <c r="H127" i="12"/>
  <c r="G127" i="12"/>
  <c r="F127" i="12"/>
  <c r="E127" i="12"/>
  <c r="D127" i="12"/>
  <c r="J127" i="12" s="1"/>
  <c r="C127" i="12"/>
  <c r="AX126" i="12"/>
  <c r="AT126" i="12"/>
  <c r="AK126" i="12"/>
  <c r="AB126" i="12"/>
  <c r="S126" i="12"/>
  <c r="J126" i="12"/>
  <c r="AY126" i="12" s="1"/>
  <c r="AX125" i="12"/>
  <c r="AT125" i="12"/>
  <c r="AK125" i="12"/>
  <c r="AB125" i="12"/>
  <c r="S125" i="12"/>
  <c r="J125" i="12"/>
  <c r="AY125" i="12" s="1"/>
  <c r="AY124" i="12"/>
  <c r="AX124" i="12"/>
  <c r="AT124" i="12"/>
  <c r="AK124" i="12"/>
  <c r="AB124" i="12"/>
  <c r="S124" i="12"/>
  <c r="J124" i="12"/>
  <c r="AX123" i="12"/>
  <c r="AT123" i="12"/>
  <c r="AK123" i="12"/>
  <c r="AB123" i="12"/>
  <c r="S123" i="12"/>
  <c r="AY123" i="12" s="1"/>
  <c r="J123" i="12"/>
  <c r="AW122" i="12"/>
  <c r="AX122" i="12" s="1"/>
  <c r="AV122" i="12"/>
  <c r="AS122" i="12"/>
  <c r="AR122" i="12"/>
  <c r="AQ122" i="12"/>
  <c r="AP122" i="12"/>
  <c r="AO122" i="12"/>
  <c r="AN122" i="12"/>
  <c r="AM122" i="12"/>
  <c r="AT122" i="12" s="1"/>
  <c r="AJ122" i="12"/>
  <c r="AI122" i="12"/>
  <c r="AH122" i="12"/>
  <c r="AG122" i="12"/>
  <c r="AF122" i="12"/>
  <c r="AE122" i="12"/>
  <c r="AD122" i="12"/>
  <c r="AK122" i="12" s="1"/>
  <c r="AA122" i="12"/>
  <c r="Z122" i="12"/>
  <c r="Y122" i="12"/>
  <c r="X122" i="12"/>
  <c r="W122" i="12"/>
  <c r="V122" i="12"/>
  <c r="U122" i="12"/>
  <c r="AB122" i="12" s="1"/>
  <c r="R122" i="12"/>
  <c r="Q122" i="12"/>
  <c r="P122" i="12"/>
  <c r="O122" i="12"/>
  <c r="N122" i="12"/>
  <c r="M122" i="12"/>
  <c r="L122" i="12"/>
  <c r="S122" i="12" s="1"/>
  <c r="I122" i="12"/>
  <c r="H122" i="12"/>
  <c r="G122" i="12"/>
  <c r="F122" i="12"/>
  <c r="E122" i="12"/>
  <c r="D122" i="12"/>
  <c r="C122" i="12"/>
  <c r="J122" i="12" s="1"/>
  <c r="AY122" i="12" s="1"/>
  <c r="AW121" i="12"/>
  <c r="AV121" i="12"/>
  <c r="AX121" i="12" s="1"/>
  <c r="AS121" i="12"/>
  <c r="AR121" i="12"/>
  <c r="AQ121" i="12"/>
  <c r="AP121" i="12"/>
  <c r="AO121" i="12"/>
  <c r="AN121" i="12"/>
  <c r="AM121" i="12"/>
  <c r="AT121" i="12" s="1"/>
  <c r="AJ121" i="12"/>
  <c r="AI121" i="12"/>
  <c r="AH121" i="12"/>
  <c r="AG121" i="12"/>
  <c r="AF121" i="12"/>
  <c r="AE121" i="12"/>
  <c r="AD121" i="12"/>
  <c r="AK121" i="12" s="1"/>
  <c r="AA121" i="12"/>
  <c r="Z121" i="12"/>
  <c r="Y121" i="12"/>
  <c r="X121" i="12"/>
  <c r="W121" i="12"/>
  <c r="V121" i="12"/>
  <c r="U121" i="12"/>
  <c r="AB121" i="12" s="1"/>
  <c r="R121" i="12"/>
  <c r="Q121" i="12"/>
  <c r="P121" i="12"/>
  <c r="O121" i="12"/>
  <c r="N121" i="12"/>
  <c r="M121" i="12"/>
  <c r="L121" i="12"/>
  <c r="S121" i="12" s="1"/>
  <c r="I121" i="12"/>
  <c r="H121" i="12"/>
  <c r="G121" i="12"/>
  <c r="F121" i="12"/>
  <c r="E121" i="12"/>
  <c r="D121" i="12"/>
  <c r="C121" i="12"/>
  <c r="J121" i="12" s="1"/>
  <c r="AW120" i="12"/>
  <c r="AX120" i="12" s="1"/>
  <c r="AV120" i="12"/>
  <c r="AS120" i="12"/>
  <c r="AR120" i="12"/>
  <c r="AQ120" i="12"/>
  <c r="AP120" i="12"/>
  <c r="AO120" i="12"/>
  <c r="AN120" i="12"/>
  <c r="AM120" i="12"/>
  <c r="AT120" i="12" s="1"/>
  <c r="AJ120" i="12"/>
  <c r="AI120" i="12"/>
  <c r="AH120" i="12"/>
  <c r="AG120" i="12"/>
  <c r="AF120" i="12"/>
  <c r="AE120" i="12"/>
  <c r="AD120" i="12"/>
  <c r="AK120" i="12" s="1"/>
  <c r="AA120" i="12"/>
  <c r="Z120" i="12"/>
  <c r="Y120" i="12"/>
  <c r="X120" i="12"/>
  <c r="W120" i="12"/>
  <c r="V120" i="12"/>
  <c r="U120" i="12"/>
  <c r="AB120" i="12" s="1"/>
  <c r="R120" i="12"/>
  <c r="Q120" i="12"/>
  <c r="P120" i="12"/>
  <c r="O120" i="12"/>
  <c r="N120" i="12"/>
  <c r="M120" i="12"/>
  <c r="L120" i="12"/>
  <c r="S120" i="12" s="1"/>
  <c r="I120" i="12"/>
  <c r="H120" i="12"/>
  <c r="G120" i="12"/>
  <c r="F120" i="12"/>
  <c r="E120" i="12"/>
  <c r="D120" i="12"/>
  <c r="C120" i="12"/>
  <c r="J120" i="12" s="1"/>
  <c r="AW119" i="12"/>
  <c r="AV119" i="12"/>
  <c r="AX119" i="12" s="1"/>
  <c r="AS119" i="12"/>
  <c r="AR119" i="12"/>
  <c r="AQ119" i="12"/>
  <c r="AP119" i="12"/>
  <c r="AO119" i="12"/>
  <c r="AN119" i="12"/>
  <c r="AM119" i="12"/>
  <c r="AT119" i="12" s="1"/>
  <c r="AJ119" i="12"/>
  <c r="AI119" i="12"/>
  <c r="AH119" i="12"/>
  <c r="AG119" i="12"/>
  <c r="AF119" i="12"/>
  <c r="AE119" i="12"/>
  <c r="AD119" i="12"/>
  <c r="AK119" i="12" s="1"/>
  <c r="AA119" i="12"/>
  <c r="Z119" i="12"/>
  <c r="Y119" i="12"/>
  <c r="X119" i="12"/>
  <c r="W119" i="12"/>
  <c r="V119" i="12"/>
  <c r="U119" i="12"/>
  <c r="AB119" i="12" s="1"/>
  <c r="R119" i="12"/>
  <c r="Q119" i="12"/>
  <c r="P119" i="12"/>
  <c r="O119" i="12"/>
  <c r="N119" i="12"/>
  <c r="M119" i="12"/>
  <c r="L119" i="12"/>
  <c r="S119" i="12" s="1"/>
  <c r="I119" i="12"/>
  <c r="H119" i="12"/>
  <c r="G119" i="12"/>
  <c r="F119" i="12"/>
  <c r="E119" i="12"/>
  <c r="D119" i="12"/>
  <c r="C119" i="12"/>
  <c r="J119" i="12" s="1"/>
  <c r="AX118" i="12"/>
  <c r="AT118" i="12"/>
  <c r="AK118" i="12"/>
  <c r="AB118" i="12"/>
  <c r="S118" i="12"/>
  <c r="J118" i="12"/>
  <c r="AY118" i="12" s="1"/>
  <c r="AW117" i="12"/>
  <c r="AV117" i="12"/>
  <c r="AX117" i="12" s="1"/>
  <c r="AS117" i="12"/>
  <c r="AR117" i="12"/>
  <c r="AQ117" i="12"/>
  <c r="AP117" i="12"/>
  <c r="AO117" i="12"/>
  <c r="AN117" i="12"/>
  <c r="AM117" i="12"/>
  <c r="AT117" i="12" s="1"/>
  <c r="AJ117" i="12"/>
  <c r="AI117" i="12"/>
  <c r="AH117" i="12"/>
  <c r="AG117" i="12"/>
  <c r="AF117" i="12"/>
  <c r="AE117" i="12"/>
  <c r="AD117" i="12"/>
  <c r="AK117" i="12" s="1"/>
  <c r="AA117" i="12"/>
  <c r="Z117" i="12"/>
  <c r="Y117" i="12"/>
  <c r="X117" i="12"/>
  <c r="W117" i="12"/>
  <c r="V117" i="12"/>
  <c r="U117" i="12"/>
  <c r="AB117" i="12" s="1"/>
  <c r="R117" i="12"/>
  <c r="Q117" i="12"/>
  <c r="P117" i="12"/>
  <c r="O117" i="12"/>
  <c r="N117" i="12"/>
  <c r="M117" i="12"/>
  <c r="L117" i="12"/>
  <c r="S117" i="12" s="1"/>
  <c r="I117" i="12"/>
  <c r="H117" i="12"/>
  <c r="G117" i="12"/>
  <c r="F117" i="12"/>
  <c r="E117" i="12"/>
  <c r="D117" i="12"/>
  <c r="C117" i="12"/>
  <c r="J117" i="12" s="1"/>
  <c r="AW116" i="12"/>
  <c r="AV116" i="12"/>
  <c r="AX116" i="12" s="1"/>
  <c r="AS116" i="12"/>
  <c r="AR116" i="12"/>
  <c r="AQ116" i="12"/>
  <c r="AP116" i="12"/>
  <c r="AO116" i="12"/>
  <c r="AN116" i="12"/>
  <c r="AM116" i="12"/>
  <c r="AT116" i="12" s="1"/>
  <c r="AJ116" i="12"/>
  <c r="AI116" i="12"/>
  <c r="AH116" i="12"/>
  <c r="AG116" i="12"/>
  <c r="AF116" i="12"/>
  <c r="AE116" i="12"/>
  <c r="AD116" i="12"/>
  <c r="AK116" i="12" s="1"/>
  <c r="AA116" i="12"/>
  <c r="Z116" i="12"/>
  <c r="Y116" i="12"/>
  <c r="X116" i="12"/>
  <c r="W116" i="12"/>
  <c r="V116" i="12"/>
  <c r="U116" i="12"/>
  <c r="AB116" i="12" s="1"/>
  <c r="R116" i="12"/>
  <c r="Q116" i="12"/>
  <c r="P116" i="12"/>
  <c r="O116" i="12"/>
  <c r="N116" i="12"/>
  <c r="M116" i="12"/>
  <c r="L116" i="12"/>
  <c r="S116" i="12" s="1"/>
  <c r="I116" i="12"/>
  <c r="H116" i="12"/>
  <c r="G116" i="12"/>
  <c r="F116" i="12"/>
  <c r="E116" i="12"/>
  <c r="D116" i="12"/>
  <c r="C116" i="12"/>
  <c r="J116" i="12" s="1"/>
  <c r="AW114" i="12"/>
  <c r="AV114" i="12"/>
  <c r="AS114" i="12"/>
  <c r="AR114" i="12"/>
  <c r="AQ114" i="12"/>
  <c r="AP114" i="12"/>
  <c r="AO114" i="12"/>
  <c r="AN114" i="12"/>
  <c r="AM114" i="12"/>
  <c r="AJ114" i="12"/>
  <c r="AI114" i="12"/>
  <c r="AH114" i="12"/>
  <c r="AG114" i="12"/>
  <c r="AF114" i="12"/>
  <c r="AE114" i="12"/>
  <c r="AD114" i="12"/>
  <c r="AA114" i="12"/>
  <c r="Z114" i="12"/>
  <c r="Y114" i="12"/>
  <c r="X114" i="12"/>
  <c r="W114" i="12"/>
  <c r="V114" i="12"/>
  <c r="U114" i="12"/>
  <c r="R114" i="12"/>
  <c r="Q114" i="12"/>
  <c r="P114" i="12"/>
  <c r="O114" i="12"/>
  <c r="N114" i="12"/>
  <c r="M114" i="12"/>
  <c r="L114" i="12"/>
  <c r="I114" i="12"/>
  <c r="H114" i="12"/>
  <c r="G114" i="12"/>
  <c r="F114" i="12"/>
  <c r="E114" i="12"/>
  <c r="D114" i="12"/>
  <c r="C114" i="12"/>
  <c r="AR112" i="12"/>
  <c r="Z112" i="12"/>
  <c r="H112" i="12"/>
  <c r="AX109" i="12"/>
  <c r="AW109" i="12"/>
  <c r="AV109" i="12"/>
  <c r="AS109" i="12"/>
  <c r="AR109" i="12"/>
  <c r="AQ109" i="12"/>
  <c r="AP109" i="12"/>
  <c r="AO109" i="12"/>
  <c r="AT109" i="12" s="1"/>
  <c r="AN109" i="12"/>
  <c r="AM109" i="12"/>
  <c r="AJ109" i="12"/>
  <c r="AI109" i="12"/>
  <c r="AH109" i="12"/>
  <c r="AG109" i="12"/>
  <c r="AF109" i="12"/>
  <c r="AK109" i="12" s="1"/>
  <c r="AE109" i="12"/>
  <c r="AD109" i="12"/>
  <c r="AA109" i="12"/>
  <c r="Z109" i="12"/>
  <c r="Y109" i="12"/>
  <c r="X109" i="12"/>
  <c r="W109" i="12"/>
  <c r="AB109" i="12" s="1"/>
  <c r="V109" i="12"/>
  <c r="U109" i="12"/>
  <c r="R109" i="12"/>
  <c r="Q109" i="12"/>
  <c r="P109" i="12"/>
  <c r="O109" i="12"/>
  <c r="N109" i="12"/>
  <c r="S109" i="12" s="1"/>
  <c r="M109" i="12"/>
  <c r="L109" i="12"/>
  <c r="I109" i="12"/>
  <c r="H109" i="12"/>
  <c r="G109" i="12"/>
  <c r="F109" i="12"/>
  <c r="E109" i="12"/>
  <c r="J109" i="12" s="1"/>
  <c r="D109" i="12"/>
  <c r="C109" i="12"/>
  <c r="AX108" i="12"/>
  <c r="AT108" i="12"/>
  <c r="AK108" i="12"/>
  <c r="AB108" i="12"/>
  <c r="S108" i="12"/>
  <c r="AY108" i="12" s="1"/>
  <c r="J108" i="12"/>
  <c r="AX107" i="12"/>
  <c r="AT107" i="12"/>
  <c r="AK107" i="12"/>
  <c r="AB107" i="12"/>
  <c r="S107" i="12"/>
  <c r="J107" i="12"/>
  <c r="AY107" i="12" s="1"/>
  <c r="AX106" i="12"/>
  <c r="AT106" i="12"/>
  <c r="AK106" i="12"/>
  <c r="AB106" i="12"/>
  <c r="S106" i="12"/>
  <c r="J106" i="12"/>
  <c r="AY106" i="12" s="1"/>
  <c r="AY105" i="12"/>
  <c r="AX105" i="12"/>
  <c r="AT105" i="12"/>
  <c r="AK105" i="12"/>
  <c r="AB105" i="12"/>
  <c r="S105" i="12"/>
  <c r="J105" i="12"/>
  <c r="AX104" i="12"/>
  <c r="AW104" i="12"/>
  <c r="AV104" i="12"/>
  <c r="AS104" i="12"/>
  <c r="AR104" i="12"/>
  <c r="AQ104" i="12"/>
  <c r="AP104" i="12"/>
  <c r="AO104" i="12"/>
  <c r="AT104" i="12" s="1"/>
  <c r="AN104" i="12"/>
  <c r="AM104" i="12"/>
  <c r="AJ104" i="12"/>
  <c r="AI104" i="12"/>
  <c r="AH104" i="12"/>
  <c r="AG104" i="12"/>
  <c r="AF104" i="12"/>
  <c r="AK104" i="12" s="1"/>
  <c r="AE104" i="12"/>
  <c r="AD104" i="12"/>
  <c r="AA104" i="12"/>
  <c r="Z104" i="12"/>
  <c r="Y104" i="12"/>
  <c r="X104" i="12"/>
  <c r="W104" i="12"/>
  <c r="AB104" i="12" s="1"/>
  <c r="V104" i="12"/>
  <c r="U104" i="12"/>
  <c r="R104" i="12"/>
  <c r="Q104" i="12"/>
  <c r="P104" i="12"/>
  <c r="O104" i="12"/>
  <c r="N104" i="12"/>
  <c r="S104" i="12" s="1"/>
  <c r="M104" i="12"/>
  <c r="L104" i="12"/>
  <c r="I104" i="12"/>
  <c r="H104" i="12"/>
  <c r="G104" i="12"/>
  <c r="F104" i="12"/>
  <c r="E104" i="12"/>
  <c r="D104" i="12"/>
  <c r="J104" i="12" s="1"/>
  <c r="C104" i="12"/>
  <c r="AX103" i="12"/>
  <c r="AW103" i="12"/>
  <c r="AV103" i="12"/>
  <c r="AS103" i="12"/>
  <c r="AT103" i="12" s="1"/>
  <c r="AR103" i="12"/>
  <c r="AQ103" i="12"/>
  <c r="AP103" i="12"/>
  <c r="AO103" i="12"/>
  <c r="AN103" i="12"/>
  <c r="AM103" i="12"/>
  <c r="AJ103" i="12"/>
  <c r="AK103" i="12" s="1"/>
  <c r="AI103" i="12"/>
  <c r="AH103" i="12"/>
  <c r="AG103" i="12"/>
  <c r="AF103" i="12"/>
  <c r="AE103" i="12"/>
  <c r="AD103" i="12"/>
  <c r="AA103" i="12"/>
  <c r="AB103" i="12" s="1"/>
  <c r="Z103" i="12"/>
  <c r="Y103" i="12"/>
  <c r="X103" i="12"/>
  <c r="W103" i="12"/>
  <c r="V103" i="12"/>
  <c r="U103" i="12"/>
  <c r="R103" i="12"/>
  <c r="S103" i="12" s="1"/>
  <c r="Q103" i="12"/>
  <c r="P103" i="12"/>
  <c r="O103" i="12"/>
  <c r="N103" i="12"/>
  <c r="M103" i="12"/>
  <c r="L103" i="12"/>
  <c r="I103" i="12"/>
  <c r="J103" i="12" s="1"/>
  <c r="H103" i="12"/>
  <c r="G103" i="12"/>
  <c r="F103" i="12"/>
  <c r="E103" i="12"/>
  <c r="D103" i="12"/>
  <c r="C103" i="12"/>
  <c r="AX102" i="12"/>
  <c r="AW102" i="12"/>
  <c r="AV102" i="12"/>
  <c r="AS102" i="12"/>
  <c r="AR102" i="12"/>
  <c r="AQ102" i="12"/>
  <c r="AP102" i="12"/>
  <c r="AO102" i="12"/>
  <c r="AN102" i="12"/>
  <c r="AT102" i="12" s="1"/>
  <c r="AM102" i="12"/>
  <c r="AJ102" i="12"/>
  <c r="AI102" i="12"/>
  <c r="AH102" i="12"/>
  <c r="AG102" i="12"/>
  <c r="AF102" i="12"/>
  <c r="AE102" i="12"/>
  <c r="AK102" i="12" s="1"/>
  <c r="AD102" i="12"/>
  <c r="AA102" i="12"/>
  <c r="Z102" i="12"/>
  <c r="Y102" i="12"/>
  <c r="X102" i="12"/>
  <c r="W102" i="12"/>
  <c r="V102" i="12"/>
  <c r="AB102" i="12" s="1"/>
  <c r="U102" i="12"/>
  <c r="R102" i="12"/>
  <c r="Q102" i="12"/>
  <c r="P102" i="12"/>
  <c r="O102" i="12"/>
  <c r="N102" i="12"/>
  <c r="M102" i="12"/>
  <c r="S102" i="12" s="1"/>
  <c r="L102" i="12"/>
  <c r="I102" i="12"/>
  <c r="H102" i="12"/>
  <c r="G102" i="12"/>
  <c r="F102" i="12"/>
  <c r="E102" i="12"/>
  <c r="D102" i="12"/>
  <c r="J102" i="12" s="1"/>
  <c r="C102" i="12"/>
  <c r="AX101" i="12"/>
  <c r="AW101" i="12"/>
  <c r="AV101" i="12"/>
  <c r="AS101" i="12"/>
  <c r="AT101" i="12" s="1"/>
  <c r="AR101" i="12"/>
  <c r="AQ101" i="12"/>
  <c r="AP101" i="12"/>
  <c r="AO101" i="12"/>
  <c r="AN101" i="12"/>
  <c r="AM101" i="12"/>
  <c r="AJ101" i="12"/>
  <c r="AK101" i="12" s="1"/>
  <c r="AI101" i="12"/>
  <c r="AH101" i="12"/>
  <c r="AG101" i="12"/>
  <c r="AF101" i="12"/>
  <c r="AE101" i="12"/>
  <c r="AD101" i="12"/>
  <c r="AA101" i="12"/>
  <c r="AB101" i="12" s="1"/>
  <c r="Z101" i="12"/>
  <c r="Y101" i="12"/>
  <c r="X101" i="12"/>
  <c r="W101" i="12"/>
  <c r="V101" i="12"/>
  <c r="U101" i="12"/>
  <c r="R101" i="12"/>
  <c r="S101" i="12" s="1"/>
  <c r="Q101" i="12"/>
  <c r="P101" i="12"/>
  <c r="O101" i="12"/>
  <c r="N101" i="12"/>
  <c r="M101" i="12"/>
  <c r="L101" i="12"/>
  <c r="I101" i="12"/>
  <c r="J101" i="12" s="1"/>
  <c r="AY101" i="12" s="1"/>
  <c r="H101" i="12"/>
  <c r="G101" i="12"/>
  <c r="F101" i="12"/>
  <c r="E101" i="12"/>
  <c r="D101" i="12"/>
  <c r="C101" i="12"/>
  <c r="AX100" i="12"/>
  <c r="AY100" i="12" s="1"/>
  <c r="AT100" i="12"/>
  <c r="AK100" i="12"/>
  <c r="AB100" i="12"/>
  <c r="S100" i="12"/>
  <c r="J100" i="12"/>
  <c r="AW99" i="12"/>
  <c r="AX99" i="12" s="1"/>
  <c r="AV99" i="12"/>
  <c r="AS99" i="12"/>
  <c r="AR99" i="12"/>
  <c r="AQ99" i="12"/>
  <c r="AP99" i="12"/>
  <c r="AO99" i="12"/>
  <c r="AN99" i="12"/>
  <c r="AM99" i="12"/>
  <c r="AT99" i="12" s="1"/>
  <c r="AJ99" i="12"/>
  <c r="AI99" i="12"/>
  <c r="AH99" i="12"/>
  <c r="AG99" i="12"/>
  <c r="AF99" i="12"/>
  <c r="AE99" i="12"/>
  <c r="AD99" i="12"/>
  <c r="AK99" i="12" s="1"/>
  <c r="AA99" i="12"/>
  <c r="Z99" i="12"/>
  <c r="Y99" i="12"/>
  <c r="X99" i="12"/>
  <c r="W99" i="12"/>
  <c r="V99" i="12"/>
  <c r="U99" i="12"/>
  <c r="AB99" i="12" s="1"/>
  <c r="R99" i="12"/>
  <c r="Q99" i="12"/>
  <c r="P99" i="12"/>
  <c r="O99" i="12"/>
  <c r="N99" i="12"/>
  <c r="M99" i="12"/>
  <c r="L99" i="12"/>
  <c r="S99" i="12" s="1"/>
  <c r="I99" i="12"/>
  <c r="H99" i="12"/>
  <c r="G99" i="12"/>
  <c r="F99" i="12"/>
  <c r="E99" i="12"/>
  <c r="D99" i="12"/>
  <c r="C99" i="12"/>
  <c r="J99" i="12" s="1"/>
  <c r="AW98" i="12"/>
  <c r="AV98" i="12"/>
  <c r="AX98" i="12" s="1"/>
  <c r="AS98" i="12"/>
  <c r="AR98" i="12"/>
  <c r="AQ98" i="12"/>
  <c r="AP98" i="12"/>
  <c r="AO98" i="12"/>
  <c r="AN98" i="12"/>
  <c r="AM98" i="12"/>
  <c r="AT98" i="12" s="1"/>
  <c r="AJ98" i="12"/>
  <c r="AI98" i="12"/>
  <c r="AH98" i="12"/>
  <c r="AG98" i="12"/>
  <c r="AF98" i="12"/>
  <c r="AE98" i="12"/>
  <c r="AD98" i="12"/>
  <c r="AK98" i="12" s="1"/>
  <c r="AA98" i="12"/>
  <c r="Z98" i="12"/>
  <c r="Y98" i="12"/>
  <c r="X98" i="12"/>
  <c r="W98" i="12"/>
  <c r="V98" i="12"/>
  <c r="U98" i="12"/>
  <c r="AB98" i="12" s="1"/>
  <c r="R98" i="12"/>
  <c r="Q98" i="12"/>
  <c r="P98" i="12"/>
  <c r="O98" i="12"/>
  <c r="N98" i="12"/>
  <c r="M98" i="12"/>
  <c r="L98" i="12"/>
  <c r="S98" i="12" s="1"/>
  <c r="I98" i="12"/>
  <c r="H98" i="12"/>
  <c r="G98" i="12"/>
  <c r="F98" i="12"/>
  <c r="E98" i="12"/>
  <c r="D98" i="12"/>
  <c r="C98" i="12"/>
  <c r="J98" i="12" s="1"/>
  <c r="AW96" i="12"/>
  <c r="AV96" i="12"/>
  <c r="AS96" i="12"/>
  <c r="AR96" i="12"/>
  <c r="AQ96" i="12"/>
  <c r="AP96" i="12"/>
  <c r="AO96" i="12"/>
  <c r="AN96" i="12"/>
  <c r="AM96" i="12"/>
  <c r="AJ96" i="12"/>
  <c r="AI96" i="12"/>
  <c r="AH96" i="12"/>
  <c r="AG96" i="12"/>
  <c r="AF96" i="12"/>
  <c r="AE96" i="12"/>
  <c r="AD96" i="12"/>
  <c r="AA96" i="12"/>
  <c r="Z96" i="12"/>
  <c r="Y96" i="12"/>
  <c r="X96" i="12"/>
  <c r="W96" i="12"/>
  <c r="V96" i="12"/>
  <c r="U96" i="12"/>
  <c r="R96" i="12"/>
  <c r="Q96" i="12"/>
  <c r="P96" i="12"/>
  <c r="O96" i="12"/>
  <c r="N96" i="12"/>
  <c r="M96" i="12"/>
  <c r="L96" i="12"/>
  <c r="I96" i="12"/>
  <c r="H96" i="12"/>
  <c r="G96" i="12"/>
  <c r="F96" i="12"/>
  <c r="E96" i="12"/>
  <c r="D96" i="12"/>
  <c r="C96" i="12"/>
  <c r="AR94" i="12"/>
  <c r="Z94" i="12"/>
  <c r="H94" i="12"/>
  <c r="AX91" i="12"/>
  <c r="AW91" i="12"/>
  <c r="AV91" i="12"/>
  <c r="AS91" i="12"/>
  <c r="AR91" i="12"/>
  <c r="AQ91" i="12"/>
  <c r="AP91" i="12"/>
  <c r="AT91" i="12" s="1"/>
  <c r="AO91" i="12"/>
  <c r="AN91" i="12"/>
  <c r="AM91" i="12"/>
  <c r="AJ91" i="12"/>
  <c r="AI91" i="12"/>
  <c r="AH91" i="12"/>
  <c r="AG91" i="12"/>
  <c r="AK91" i="12" s="1"/>
  <c r="AF91" i="12"/>
  <c r="AE91" i="12"/>
  <c r="AD91" i="12"/>
  <c r="AA91" i="12"/>
  <c r="Z91" i="12"/>
  <c r="Y91" i="12"/>
  <c r="X91" i="12"/>
  <c r="AB91" i="12" s="1"/>
  <c r="W91" i="12"/>
  <c r="V91" i="12"/>
  <c r="U91" i="12"/>
  <c r="R91" i="12"/>
  <c r="Q91" i="12"/>
  <c r="P91" i="12"/>
  <c r="O91" i="12"/>
  <c r="S91" i="12" s="1"/>
  <c r="N91" i="12"/>
  <c r="M91" i="12"/>
  <c r="L91" i="12"/>
  <c r="I91" i="12"/>
  <c r="H91" i="12"/>
  <c r="G91" i="12"/>
  <c r="F91" i="12"/>
  <c r="J91" i="12" s="1"/>
  <c r="AY91" i="12" s="1"/>
  <c r="E91" i="12"/>
  <c r="D91" i="12"/>
  <c r="C91" i="12"/>
  <c r="AX90" i="12"/>
  <c r="AT90" i="12"/>
  <c r="AK90" i="12"/>
  <c r="AB90" i="12"/>
  <c r="AY90" i="12" s="1"/>
  <c r="S90" i="12"/>
  <c r="J90" i="12"/>
  <c r="AX89" i="12"/>
  <c r="AT89" i="12"/>
  <c r="AK89" i="12"/>
  <c r="AB89" i="12"/>
  <c r="S89" i="12"/>
  <c r="J89" i="12"/>
  <c r="AY89" i="12" s="1"/>
  <c r="AX88" i="12"/>
  <c r="AT88" i="12"/>
  <c r="AK88" i="12"/>
  <c r="AB88" i="12"/>
  <c r="S88" i="12"/>
  <c r="J88" i="12"/>
  <c r="AY88" i="12" s="1"/>
  <c r="AX87" i="12"/>
  <c r="AT87" i="12"/>
  <c r="AK87" i="12"/>
  <c r="AB87" i="12"/>
  <c r="S87" i="12"/>
  <c r="J87" i="12"/>
  <c r="AY87" i="12" s="1"/>
  <c r="AX86" i="12"/>
  <c r="AW86" i="12"/>
  <c r="AV86" i="12"/>
  <c r="AS86" i="12"/>
  <c r="AR86" i="12"/>
  <c r="AQ86" i="12"/>
  <c r="AP86" i="12"/>
  <c r="AT86" i="12" s="1"/>
  <c r="AO86" i="12"/>
  <c r="AN86" i="12"/>
  <c r="AM86" i="12"/>
  <c r="AJ86" i="12"/>
  <c r="AI86" i="12"/>
  <c r="AH86" i="12"/>
  <c r="AG86" i="12"/>
  <c r="AK86" i="12" s="1"/>
  <c r="AF86" i="12"/>
  <c r="AE86" i="12"/>
  <c r="AD86" i="12"/>
  <c r="AA86" i="12"/>
  <c r="Z86" i="12"/>
  <c r="Y86" i="12"/>
  <c r="X86" i="12"/>
  <c r="AB86" i="12" s="1"/>
  <c r="W86" i="12"/>
  <c r="V86" i="12"/>
  <c r="U86" i="12"/>
  <c r="R86" i="12"/>
  <c r="Q86" i="12"/>
  <c r="P86" i="12"/>
  <c r="O86" i="12"/>
  <c r="S86" i="12" s="1"/>
  <c r="N86" i="12"/>
  <c r="M86" i="12"/>
  <c r="L86" i="12"/>
  <c r="I86" i="12"/>
  <c r="H86" i="12"/>
  <c r="G86" i="12"/>
  <c r="F86" i="12"/>
  <c r="J86" i="12" s="1"/>
  <c r="E86" i="12"/>
  <c r="D86" i="12"/>
  <c r="C86" i="12"/>
  <c r="AW85" i="12"/>
  <c r="AV85" i="12"/>
  <c r="AX85" i="12" s="1"/>
  <c r="AT85" i="12"/>
  <c r="AS85" i="12"/>
  <c r="AR85" i="12"/>
  <c r="AQ85" i="12"/>
  <c r="AP85" i="12"/>
  <c r="AO85" i="12"/>
  <c r="AN85" i="12"/>
  <c r="AM85" i="12"/>
  <c r="AK85" i="12"/>
  <c r="AJ85" i="12"/>
  <c r="AI85" i="12"/>
  <c r="AH85" i="12"/>
  <c r="AG85" i="12"/>
  <c r="AF85" i="12"/>
  <c r="AE85" i="12"/>
  <c r="AD85" i="12"/>
  <c r="AB85" i="12"/>
  <c r="AA85" i="12"/>
  <c r="Z85" i="12"/>
  <c r="Y85" i="12"/>
  <c r="X85" i="12"/>
  <c r="W85" i="12"/>
  <c r="V85" i="12"/>
  <c r="U85" i="12"/>
  <c r="S85" i="12"/>
  <c r="R85" i="12"/>
  <c r="Q85" i="12"/>
  <c r="P85" i="12"/>
  <c r="O85" i="12"/>
  <c r="N85" i="12"/>
  <c r="M85" i="12"/>
  <c r="L85" i="12"/>
  <c r="J85" i="12"/>
  <c r="AY85" i="12" s="1"/>
  <c r="I85" i="12"/>
  <c r="H85" i="12"/>
  <c r="G85" i="12"/>
  <c r="F85" i="12"/>
  <c r="E85" i="12"/>
  <c r="D85" i="12"/>
  <c r="C85" i="12"/>
  <c r="AX84" i="12"/>
  <c r="AW84" i="12"/>
  <c r="AV84" i="12"/>
  <c r="AS84" i="12"/>
  <c r="AR84" i="12"/>
  <c r="AQ84" i="12"/>
  <c r="AP84" i="12"/>
  <c r="AT84" i="12" s="1"/>
  <c r="AO84" i="12"/>
  <c r="AN84" i="12"/>
  <c r="AM84" i="12"/>
  <c r="AJ84" i="12"/>
  <c r="AI84" i="12"/>
  <c r="AH84" i="12"/>
  <c r="AG84" i="12"/>
  <c r="AK84" i="12" s="1"/>
  <c r="AF84" i="12"/>
  <c r="AE84" i="12"/>
  <c r="AD84" i="12"/>
  <c r="AA84" i="12"/>
  <c r="Z84" i="12"/>
  <c r="Y84" i="12"/>
  <c r="X84" i="12"/>
  <c r="AB84" i="12" s="1"/>
  <c r="W84" i="12"/>
  <c r="V84" i="12"/>
  <c r="U84" i="12"/>
  <c r="R84" i="12"/>
  <c r="Q84" i="12"/>
  <c r="P84" i="12"/>
  <c r="O84" i="12"/>
  <c r="S84" i="12" s="1"/>
  <c r="N84" i="12"/>
  <c r="M84" i="12"/>
  <c r="L84" i="12"/>
  <c r="I84" i="12"/>
  <c r="H84" i="12"/>
  <c r="G84" i="12"/>
  <c r="F84" i="12"/>
  <c r="J84" i="12" s="1"/>
  <c r="E84" i="12"/>
  <c r="D84" i="12"/>
  <c r="C84" i="12"/>
  <c r="AW83" i="12"/>
  <c r="AV83" i="12"/>
  <c r="AX83" i="12" s="1"/>
  <c r="AT83" i="12"/>
  <c r="AS83" i="12"/>
  <c r="AR83" i="12"/>
  <c r="AQ83" i="12"/>
  <c r="AP83" i="12"/>
  <c r="AO83" i="12"/>
  <c r="AN83" i="12"/>
  <c r="AM83" i="12"/>
  <c r="AK83" i="12"/>
  <c r="AJ83" i="12"/>
  <c r="AI83" i="12"/>
  <c r="AH83" i="12"/>
  <c r="AG83" i="12"/>
  <c r="AF83" i="12"/>
  <c r="AE83" i="12"/>
  <c r="AD83" i="12"/>
  <c r="AB83" i="12"/>
  <c r="AA83" i="12"/>
  <c r="Z83" i="12"/>
  <c r="Y83" i="12"/>
  <c r="X83" i="12"/>
  <c r="W83" i="12"/>
  <c r="V83" i="12"/>
  <c r="U83" i="12"/>
  <c r="S83" i="12"/>
  <c r="R83" i="12"/>
  <c r="Q83" i="12"/>
  <c r="P83" i="12"/>
  <c r="O83" i="12"/>
  <c r="N83" i="12"/>
  <c r="M83" i="12"/>
  <c r="L83" i="12"/>
  <c r="J83" i="12"/>
  <c r="AY83" i="12" s="1"/>
  <c r="I83" i="12"/>
  <c r="H83" i="12"/>
  <c r="G83" i="12"/>
  <c r="F83" i="12"/>
  <c r="E83" i="12"/>
  <c r="D83" i="12"/>
  <c r="C83" i="12"/>
  <c r="AY82" i="12"/>
  <c r="AX82" i="12"/>
  <c r="AT82" i="12"/>
  <c r="AK82" i="12"/>
  <c r="AB82" i="12"/>
  <c r="S82" i="12"/>
  <c r="J82" i="12"/>
  <c r="AX81" i="12"/>
  <c r="AW81" i="12"/>
  <c r="AV81" i="12"/>
  <c r="AS81" i="12"/>
  <c r="AR81" i="12"/>
  <c r="AQ81" i="12"/>
  <c r="AP81" i="12"/>
  <c r="AO81" i="12"/>
  <c r="AN81" i="12"/>
  <c r="AT81" i="12" s="1"/>
  <c r="AM81" i="12"/>
  <c r="AJ81" i="12"/>
  <c r="AI81" i="12"/>
  <c r="AH81" i="12"/>
  <c r="AG81" i="12"/>
  <c r="AF81" i="12"/>
  <c r="AE81" i="12"/>
  <c r="AK81" i="12" s="1"/>
  <c r="AD81" i="12"/>
  <c r="AA81" i="12"/>
  <c r="Z81" i="12"/>
  <c r="Y81" i="12"/>
  <c r="X81" i="12"/>
  <c r="W81" i="12"/>
  <c r="V81" i="12"/>
  <c r="AB81" i="12" s="1"/>
  <c r="U81" i="12"/>
  <c r="R81" i="12"/>
  <c r="Q81" i="12"/>
  <c r="P81" i="12"/>
  <c r="O81" i="12"/>
  <c r="N81" i="12"/>
  <c r="M81" i="12"/>
  <c r="S81" i="12" s="1"/>
  <c r="L81" i="12"/>
  <c r="I81" i="12"/>
  <c r="H81" i="12"/>
  <c r="G81" i="12"/>
  <c r="F81" i="12"/>
  <c r="E81" i="12"/>
  <c r="D81" i="12"/>
  <c r="J81" i="12" s="1"/>
  <c r="AY81" i="12" s="1"/>
  <c r="C81" i="12"/>
  <c r="AX80" i="12"/>
  <c r="AW80" i="12"/>
  <c r="AV80" i="12"/>
  <c r="AS80" i="12"/>
  <c r="AT80" i="12" s="1"/>
  <c r="AR80" i="12"/>
  <c r="AQ80" i="12"/>
  <c r="AP80" i="12"/>
  <c r="AO80" i="12"/>
  <c r="AN80" i="12"/>
  <c r="AM80" i="12"/>
  <c r="AJ80" i="12"/>
  <c r="AK80" i="12" s="1"/>
  <c r="AI80" i="12"/>
  <c r="AH80" i="12"/>
  <c r="AG80" i="12"/>
  <c r="AF80" i="12"/>
  <c r="AE80" i="12"/>
  <c r="AD80" i="12"/>
  <c r="AA80" i="12"/>
  <c r="AB80" i="12" s="1"/>
  <c r="Z80" i="12"/>
  <c r="Y80" i="12"/>
  <c r="X80" i="12"/>
  <c r="W80" i="12"/>
  <c r="V80" i="12"/>
  <c r="U80" i="12"/>
  <c r="R80" i="12"/>
  <c r="S80" i="12" s="1"/>
  <c r="Q80" i="12"/>
  <c r="P80" i="12"/>
  <c r="O80" i="12"/>
  <c r="N80" i="12"/>
  <c r="M80" i="12"/>
  <c r="L80" i="12"/>
  <c r="I80" i="12"/>
  <c r="J80" i="12" s="1"/>
  <c r="AY80" i="12" s="1"/>
  <c r="H80" i="12"/>
  <c r="G80" i="12"/>
  <c r="F80" i="12"/>
  <c r="E80" i="12"/>
  <c r="D80" i="12"/>
  <c r="C80" i="12"/>
  <c r="AW78" i="12"/>
  <c r="AV78" i="12"/>
  <c r="AS78" i="12"/>
  <c r="AR78" i="12"/>
  <c r="AQ78" i="12"/>
  <c r="AP78" i="12"/>
  <c r="AO78" i="12"/>
  <c r="AN78" i="12"/>
  <c r="AM78" i="12"/>
  <c r="AJ78" i="12"/>
  <c r="AI78" i="12"/>
  <c r="AH78" i="12"/>
  <c r="AG78" i="12"/>
  <c r="AF78" i="12"/>
  <c r="AE78" i="12"/>
  <c r="AD78" i="12"/>
  <c r="AA78" i="12"/>
  <c r="Z78" i="12"/>
  <c r="Y78" i="12"/>
  <c r="X78" i="12"/>
  <c r="W78" i="12"/>
  <c r="V78" i="12"/>
  <c r="U78" i="12"/>
  <c r="R78" i="12"/>
  <c r="Q78" i="12"/>
  <c r="P78" i="12"/>
  <c r="O78" i="12"/>
  <c r="N78" i="12"/>
  <c r="M78" i="12"/>
  <c r="L78" i="12"/>
  <c r="I78" i="12"/>
  <c r="H78" i="12"/>
  <c r="G78" i="12"/>
  <c r="F78" i="12"/>
  <c r="E78" i="12"/>
  <c r="D78" i="12"/>
  <c r="C78" i="12"/>
  <c r="AR76" i="12"/>
  <c r="Z76" i="12"/>
  <c r="H76" i="12"/>
  <c r="AW73" i="12"/>
  <c r="AV73" i="12"/>
  <c r="AX73" i="12" s="1"/>
  <c r="AS73" i="12"/>
  <c r="AR73" i="12"/>
  <c r="AQ73" i="12"/>
  <c r="AP73" i="12"/>
  <c r="AO73" i="12"/>
  <c r="AN73" i="12"/>
  <c r="AM73" i="12"/>
  <c r="AT73" i="12" s="1"/>
  <c r="AJ73" i="12"/>
  <c r="AI73" i="12"/>
  <c r="AH73" i="12"/>
  <c r="AG73" i="12"/>
  <c r="AF73" i="12"/>
  <c r="AE73" i="12"/>
  <c r="AD73" i="12"/>
  <c r="AA73" i="12"/>
  <c r="Z73" i="12"/>
  <c r="Y73" i="12"/>
  <c r="X73" i="12"/>
  <c r="W73" i="12"/>
  <c r="V73" i="12"/>
  <c r="U73" i="12"/>
  <c r="AB73" i="12" s="1"/>
  <c r="R73" i="12"/>
  <c r="Q73" i="12"/>
  <c r="P73" i="12"/>
  <c r="O73" i="12"/>
  <c r="N73" i="12"/>
  <c r="M73" i="12"/>
  <c r="L73" i="12"/>
  <c r="I73" i="12"/>
  <c r="H73" i="12"/>
  <c r="G73" i="12"/>
  <c r="F73" i="12"/>
  <c r="E73" i="12"/>
  <c r="D73" i="12"/>
  <c r="C73" i="12"/>
  <c r="AX72" i="12"/>
  <c r="AT72" i="12"/>
  <c r="AK72" i="12"/>
  <c r="AY72" i="12" s="1"/>
  <c r="AB72" i="12"/>
  <c r="S72" i="12"/>
  <c r="J72" i="12"/>
  <c r="AX71" i="12"/>
  <c r="AT71" i="12"/>
  <c r="AK71" i="12"/>
  <c r="AB71" i="12"/>
  <c r="AY71" i="12" s="1"/>
  <c r="S71" i="12"/>
  <c r="J71" i="12"/>
  <c r="AX70" i="12"/>
  <c r="AT70" i="12"/>
  <c r="AK70" i="12"/>
  <c r="AB70" i="12"/>
  <c r="S70" i="12"/>
  <c r="J70" i="12"/>
  <c r="AY70" i="12" s="1"/>
  <c r="AX69" i="12"/>
  <c r="AT69" i="12"/>
  <c r="AK69" i="12"/>
  <c r="AB69" i="12"/>
  <c r="S69" i="12"/>
  <c r="J69" i="12"/>
  <c r="AY69" i="12" s="1"/>
  <c r="AW68" i="12"/>
  <c r="AV68" i="12"/>
  <c r="AX68" i="12" s="1"/>
  <c r="AS68" i="12"/>
  <c r="AR68" i="12"/>
  <c r="AQ68" i="12"/>
  <c r="AP68" i="12"/>
  <c r="AO68" i="12"/>
  <c r="AN68" i="12"/>
  <c r="AM68" i="12"/>
  <c r="AJ68" i="12"/>
  <c r="AI68" i="12"/>
  <c r="AH68" i="12"/>
  <c r="AG68" i="12"/>
  <c r="AF68" i="12"/>
  <c r="AE68" i="12"/>
  <c r="AD68" i="12"/>
  <c r="AA68" i="12"/>
  <c r="Z68" i="12"/>
  <c r="Y68" i="12"/>
  <c r="X68" i="12"/>
  <c r="W68" i="12"/>
  <c r="V68" i="12"/>
  <c r="U68" i="12"/>
  <c r="AB68" i="12" s="1"/>
  <c r="R68" i="12"/>
  <c r="Q68" i="12"/>
  <c r="P68" i="12"/>
  <c r="O68" i="12"/>
  <c r="N68" i="12"/>
  <c r="M68" i="12"/>
  <c r="L68" i="12"/>
  <c r="I68" i="12"/>
  <c r="H68" i="12"/>
  <c r="G68" i="12"/>
  <c r="F68" i="12"/>
  <c r="E68" i="12"/>
  <c r="D68" i="12"/>
  <c r="C68" i="12"/>
  <c r="J68" i="12" s="1"/>
  <c r="AW67" i="12"/>
  <c r="AV67" i="12"/>
  <c r="AX67" i="12" s="1"/>
  <c r="AS67" i="12"/>
  <c r="AR67" i="12"/>
  <c r="AQ67" i="12"/>
  <c r="AP67" i="12"/>
  <c r="AO67" i="12"/>
  <c r="AN67" i="12"/>
  <c r="AM67" i="12"/>
  <c r="AT67" i="12" s="1"/>
  <c r="AJ67" i="12"/>
  <c r="AI67" i="12"/>
  <c r="AH67" i="12"/>
  <c r="AG67" i="12"/>
  <c r="AF67" i="12"/>
  <c r="AE67" i="12"/>
  <c r="AD67" i="12"/>
  <c r="AK67" i="12" s="1"/>
  <c r="AA67" i="12"/>
  <c r="Z67" i="12"/>
  <c r="Y67" i="12"/>
  <c r="X67" i="12"/>
  <c r="W67" i="12"/>
  <c r="V67" i="12"/>
  <c r="U67" i="12"/>
  <c r="AB67" i="12" s="1"/>
  <c r="R67" i="12"/>
  <c r="Q67" i="12"/>
  <c r="P67" i="12"/>
  <c r="O67" i="12"/>
  <c r="N67" i="12"/>
  <c r="M67" i="12"/>
  <c r="L67" i="12"/>
  <c r="S67" i="12" s="1"/>
  <c r="I67" i="12"/>
  <c r="H67" i="12"/>
  <c r="G67" i="12"/>
  <c r="F67" i="12"/>
  <c r="E67" i="12"/>
  <c r="D67" i="12"/>
  <c r="C67" i="12"/>
  <c r="J67" i="12" s="1"/>
  <c r="AW66" i="12"/>
  <c r="AV66" i="12"/>
  <c r="AX66" i="12" s="1"/>
  <c r="AS66" i="12"/>
  <c r="AR66" i="12"/>
  <c r="AQ66" i="12"/>
  <c r="AP66" i="12"/>
  <c r="AO66" i="12"/>
  <c r="AN66" i="12"/>
  <c r="AM66" i="12"/>
  <c r="AJ66" i="12"/>
  <c r="AI66" i="12"/>
  <c r="AH66" i="12"/>
  <c r="AG66" i="12"/>
  <c r="AF66" i="12"/>
  <c r="AE66" i="12"/>
  <c r="AD66" i="12"/>
  <c r="AK66" i="12" s="1"/>
  <c r="AA66" i="12"/>
  <c r="Z66" i="12"/>
  <c r="Y66" i="12"/>
  <c r="X66" i="12"/>
  <c r="W66" i="12"/>
  <c r="V66" i="12"/>
  <c r="U66" i="12"/>
  <c r="R66" i="12"/>
  <c r="Q66" i="12"/>
  <c r="P66" i="12"/>
  <c r="O66" i="12"/>
  <c r="N66" i="12"/>
  <c r="M66" i="12"/>
  <c r="L66" i="12"/>
  <c r="I66" i="12"/>
  <c r="H66" i="12"/>
  <c r="G66" i="12"/>
  <c r="F66" i="12"/>
  <c r="E66" i="12"/>
  <c r="D66" i="12"/>
  <c r="C66" i="12"/>
  <c r="J66" i="12" s="1"/>
  <c r="AW65" i="12"/>
  <c r="AV65" i="12"/>
  <c r="AX65" i="12" s="1"/>
  <c r="AS65" i="12"/>
  <c r="AR65" i="12"/>
  <c r="AQ65" i="12"/>
  <c r="AP65" i="12"/>
  <c r="AO65" i="12"/>
  <c r="AN65" i="12"/>
  <c r="AM65" i="12"/>
  <c r="AT65" i="12" s="1"/>
  <c r="AJ65" i="12"/>
  <c r="AI65" i="12"/>
  <c r="AH65" i="12"/>
  <c r="AG65" i="12"/>
  <c r="AF65" i="12"/>
  <c r="AE65" i="12"/>
  <c r="AD65" i="12"/>
  <c r="AK65" i="12" s="1"/>
  <c r="AA65" i="12"/>
  <c r="Z65" i="12"/>
  <c r="Y65" i="12"/>
  <c r="X65" i="12"/>
  <c r="W65" i="12"/>
  <c r="V65" i="12"/>
  <c r="U65" i="12"/>
  <c r="AB65" i="12" s="1"/>
  <c r="R65" i="12"/>
  <c r="Q65" i="12"/>
  <c r="P65" i="12"/>
  <c r="O65" i="12"/>
  <c r="N65" i="12"/>
  <c r="M65" i="12"/>
  <c r="L65" i="12"/>
  <c r="S65" i="12" s="1"/>
  <c r="I65" i="12"/>
  <c r="H65" i="12"/>
  <c r="G65" i="12"/>
  <c r="F65" i="12"/>
  <c r="E65" i="12"/>
  <c r="D65" i="12"/>
  <c r="C65" i="12"/>
  <c r="J65" i="12" s="1"/>
  <c r="AX64" i="12"/>
  <c r="AT64" i="12"/>
  <c r="AK64" i="12"/>
  <c r="AB64" i="12"/>
  <c r="S64" i="12"/>
  <c r="J64" i="12"/>
  <c r="AY64" i="12" s="1"/>
  <c r="AW63" i="12"/>
  <c r="AV63" i="12"/>
  <c r="AX63" i="12" s="1"/>
  <c r="AS63" i="12"/>
  <c r="AR63" i="12"/>
  <c r="AQ63" i="12"/>
  <c r="AP63" i="12"/>
  <c r="AT63" i="12" s="1"/>
  <c r="AO63" i="12"/>
  <c r="AN63" i="12"/>
  <c r="AM63" i="12"/>
  <c r="AJ63" i="12"/>
  <c r="AI63" i="12"/>
  <c r="AH63" i="12"/>
  <c r="AG63" i="12"/>
  <c r="AK63" i="12" s="1"/>
  <c r="AF63" i="12"/>
  <c r="AE63" i="12"/>
  <c r="AD63" i="12"/>
  <c r="AA63" i="12"/>
  <c r="Z63" i="12"/>
  <c r="Y63" i="12"/>
  <c r="X63" i="12"/>
  <c r="AB63" i="12" s="1"/>
  <c r="W63" i="12"/>
  <c r="V63" i="12"/>
  <c r="U63" i="12"/>
  <c r="R63" i="12"/>
  <c r="Q63" i="12"/>
  <c r="P63" i="12"/>
  <c r="O63" i="12"/>
  <c r="S63" i="12" s="1"/>
  <c r="N63" i="12"/>
  <c r="M63" i="12"/>
  <c r="L63" i="12"/>
  <c r="I63" i="12"/>
  <c r="H63" i="12"/>
  <c r="G63" i="12"/>
  <c r="F63" i="12"/>
  <c r="J63" i="12" s="1"/>
  <c r="AY63" i="12" s="1"/>
  <c r="E63" i="12"/>
  <c r="D63" i="12"/>
  <c r="C63" i="12"/>
  <c r="AW62" i="12"/>
  <c r="AV62" i="12"/>
  <c r="AX62" i="12" s="1"/>
  <c r="AT62" i="12"/>
  <c r="AS62" i="12"/>
  <c r="AR62" i="12"/>
  <c r="AQ62" i="12"/>
  <c r="AP62" i="12"/>
  <c r="AO62" i="12"/>
  <c r="AN62" i="12"/>
  <c r="AM62" i="12"/>
  <c r="AK62" i="12"/>
  <c r="AJ62" i="12"/>
  <c r="AI62" i="12"/>
  <c r="AH62" i="12"/>
  <c r="AG62" i="12"/>
  <c r="AF62" i="12"/>
  <c r="AE62" i="12"/>
  <c r="AD62" i="12"/>
  <c r="AB62" i="12"/>
  <c r="AA62" i="12"/>
  <c r="Z62" i="12"/>
  <c r="Y62" i="12"/>
  <c r="X62" i="12"/>
  <c r="W62" i="12"/>
  <c r="V62" i="12"/>
  <c r="U62" i="12"/>
  <c r="S62" i="12"/>
  <c r="R62" i="12"/>
  <c r="Q62" i="12"/>
  <c r="P62" i="12"/>
  <c r="O62" i="12"/>
  <c r="N62" i="12"/>
  <c r="M62" i="12"/>
  <c r="L62" i="12"/>
  <c r="J62" i="12"/>
  <c r="I62" i="12"/>
  <c r="H62" i="12"/>
  <c r="G62" i="12"/>
  <c r="F62" i="12"/>
  <c r="E62" i="12"/>
  <c r="D62" i="12"/>
  <c r="C62" i="12"/>
  <c r="AW60" i="12"/>
  <c r="AV60" i="12"/>
  <c r="AS60" i="12"/>
  <c r="AR60" i="12"/>
  <c r="AQ60" i="12"/>
  <c r="AP60" i="12"/>
  <c r="AO60" i="12"/>
  <c r="AN60" i="12"/>
  <c r="AM60" i="12"/>
  <c r="AJ60" i="12"/>
  <c r="AI60" i="12"/>
  <c r="AH60" i="12"/>
  <c r="AG60" i="12"/>
  <c r="AF60" i="12"/>
  <c r="AE60" i="12"/>
  <c r="AD60" i="12"/>
  <c r="AA60" i="12"/>
  <c r="Z60" i="12"/>
  <c r="Y60" i="12"/>
  <c r="X60" i="12"/>
  <c r="W60" i="12"/>
  <c r="V60" i="12"/>
  <c r="U60" i="12"/>
  <c r="R60" i="12"/>
  <c r="Q60" i="12"/>
  <c r="P60" i="12"/>
  <c r="O60" i="12"/>
  <c r="N60" i="12"/>
  <c r="M60" i="12"/>
  <c r="L60" i="12"/>
  <c r="I60" i="12"/>
  <c r="H60" i="12"/>
  <c r="G60" i="12"/>
  <c r="F60" i="12"/>
  <c r="E60" i="12"/>
  <c r="D60" i="12"/>
  <c r="C60" i="12"/>
  <c r="AR58" i="12"/>
  <c r="Z58" i="12"/>
  <c r="H58" i="12"/>
  <c r="AW55" i="12"/>
  <c r="AX55" i="12" s="1"/>
  <c r="AV55" i="12"/>
  <c r="AS55" i="12"/>
  <c r="AR55" i="12"/>
  <c r="AQ55" i="12"/>
  <c r="AP55" i="12"/>
  <c r="AO55" i="12"/>
  <c r="AN55" i="12"/>
  <c r="AM55" i="12"/>
  <c r="AT55" i="12" s="1"/>
  <c r="AJ55" i="12"/>
  <c r="AI55" i="12"/>
  <c r="AH55" i="12"/>
  <c r="AG55" i="12"/>
  <c r="AF55" i="12"/>
  <c r="AE55" i="12"/>
  <c r="AD55" i="12"/>
  <c r="AA55" i="12"/>
  <c r="Z55" i="12"/>
  <c r="Y55" i="12"/>
  <c r="X55" i="12"/>
  <c r="W55" i="12"/>
  <c r="V55" i="12"/>
  <c r="U55" i="12"/>
  <c r="R55" i="12"/>
  <c r="Q55" i="12"/>
  <c r="P55" i="12"/>
  <c r="O55" i="12"/>
  <c r="N55" i="12"/>
  <c r="M55" i="12"/>
  <c r="L55" i="12"/>
  <c r="I55" i="12"/>
  <c r="H55" i="12"/>
  <c r="G55" i="12"/>
  <c r="F55" i="12"/>
  <c r="E55" i="12"/>
  <c r="D55" i="12"/>
  <c r="C55" i="12"/>
  <c r="AX54" i="12"/>
  <c r="AT54" i="12"/>
  <c r="AK54" i="12"/>
  <c r="AB54" i="12"/>
  <c r="S54" i="12"/>
  <c r="J54" i="12"/>
  <c r="AY54" i="12" s="1"/>
  <c r="AX53" i="12"/>
  <c r="AT53" i="12"/>
  <c r="AK53" i="12"/>
  <c r="AB53" i="12"/>
  <c r="S53" i="12"/>
  <c r="J53" i="12"/>
  <c r="AY53" i="12" s="1"/>
  <c r="AX52" i="12"/>
  <c r="AT52" i="12"/>
  <c r="AK52" i="12"/>
  <c r="AB52" i="12"/>
  <c r="AY52" i="12" s="1"/>
  <c r="S52" i="12"/>
  <c r="J52" i="12"/>
  <c r="AX51" i="12"/>
  <c r="AT51" i="12"/>
  <c r="AK51" i="12"/>
  <c r="AB51" i="12"/>
  <c r="S51" i="12"/>
  <c r="AY51" i="12" s="1"/>
  <c r="J51" i="12"/>
  <c r="AW50" i="12"/>
  <c r="AX50" i="12" s="1"/>
  <c r="AV50" i="12"/>
  <c r="AS50" i="12"/>
  <c r="AR50" i="12"/>
  <c r="AQ50" i="12"/>
  <c r="AP50" i="12"/>
  <c r="AO50" i="12"/>
  <c r="AN50" i="12"/>
  <c r="AM50" i="12"/>
  <c r="AJ50" i="12"/>
  <c r="AI50" i="12"/>
  <c r="AH50" i="12"/>
  <c r="AG50" i="12"/>
  <c r="AF50" i="12"/>
  <c r="AE50" i="12"/>
  <c r="AD50" i="12"/>
  <c r="AA50" i="12"/>
  <c r="Z50" i="12"/>
  <c r="Y50" i="12"/>
  <c r="X50" i="12"/>
  <c r="W50" i="12"/>
  <c r="V50" i="12"/>
  <c r="U50" i="12"/>
  <c r="AB50" i="12" s="1"/>
  <c r="R50" i="12"/>
  <c r="Q50" i="12"/>
  <c r="P50" i="12"/>
  <c r="O50" i="12"/>
  <c r="N50" i="12"/>
  <c r="M50" i="12"/>
  <c r="L50" i="12"/>
  <c r="S50" i="12" s="1"/>
  <c r="I50" i="12"/>
  <c r="H50" i="12"/>
  <c r="G50" i="12"/>
  <c r="F50" i="12"/>
  <c r="E50" i="12"/>
  <c r="D50" i="12"/>
  <c r="C50" i="12"/>
  <c r="J50" i="12" s="1"/>
  <c r="AW49" i="12"/>
  <c r="AX49" i="12" s="1"/>
  <c r="AV49" i="12"/>
  <c r="AS49" i="12"/>
  <c r="AR49" i="12"/>
  <c r="AQ49" i="12"/>
  <c r="AP49" i="12"/>
  <c r="AO49" i="12"/>
  <c r="AN49" i="12"/>
  <c r="AT49" i="12" s="1"/>
  <c r="AM49" i="12"/>
  <c r="AJ49" i="12"/>
  <c r="AI49" i="12"/>
  <c r="AH49" i="12"/>
  <c r="AG49" i="12"/>
  <c r="AF49" i="12"/>
  <c r="AE49" i="12"/>
  <c r="AK49" i="12" s="1"/>
  <c r="AD49" i="12"/>
  <c r="AA49" i="12"/>
  <c r="Z49" i="12"/>
  <c r="Y49" i="12"/>
  <c r="X49" i="12"/>
  <c r="W49" i="12"/>
  <c r="V49" i="12"/>
  <c r="AB49" i="12" s="1"/>
  <c r="U49" i="12"/>
  <c r="R49" i="12"/>
  <c r="Q49" i="12"/>
  <c r="P49" i="12"/>
  <c r="O49" i="12"/>
  <c r="N49" i="12"/>
  <c r="M49" i="12"/>
  <c r="S49" i="12" s="1"/>
  <c r="L49" i="12"/>
  <c r="I49" i="12"/>
  <c r="H49" i="12"/>
  <c r="G49" i="12"/>
  <c r="F49" i="12"/>
  <c r="E49" i="12"/>
  <c r="D49" i="12"/>
  <c r="J49" i="12" s="1"/>
  <c r="C49" i="12"/>
  <c r="AW48" i="12"/>
  <c r="AX48" i="12" s="1"/>
  <c r="AV48" i="12"/>
  <c r="AS48" i="12"/>
  <c r="AR48" i="12"/>
  <c r="AQ48" i="12"/>
  <c r="AP48" i="12"/>
  <c r="AO48" i="12"/>
  <c r="AN48" i="12"/>
  <c r="AM48" i="12"/>
  <c r="AJ48" i="12"/>
  <c r="AI48" i="12"/>
  <c r="AH48" i="12"/>
  <c r="AG48" i="12"/>
  <c r="AF48" i="12"/>
  <c r="AE48" i="12"/>
  <c r="AD48" i="12"/>
  <c r="AA48" i="12"/>
  <c r="Z48" i="12"/>
  <c r="Y48" i="12"/>
  <c r="X48" i="12"/>
  <c r="W48" i="12"/>
  <c r="V48" i="12"/>
  <c r="U48" i="12"/>
  <c r="R48" i="12"/>
  <c r="Q48" i="12"/>
  <c r="P48" i="12"/>
  <c r="O48" i="12"/>
  <c r="N48" i="12"/>
  <c r="M48" i="12"/>
  <c r="L48" i="12"/>
  <c r="I48" i="12"/>
  <c r="H48" i="12"/>
  <c r="G48" i="12"/>
  <c r="F48" i="12"/>
  <c r="E48" i="12"/>
  <c r="D48" i="12"/>
  <c r="C48" i="12"/>
  <c r="AW47" i="12"/>
  <c r="AX47" i="12" s="1"/>
  <c r="AV47" i="12"/>
  <c r="AS47" i="12"/>
  <c r="AR47" i="12"/>
  <c r="AQ47" i="12"/>
  <c r="AP47" i="12"/>
  <c r="AO47" i="12"/>
  <c r="AN47" i="12"/>
  <c r="AM47" i="12"/>
  <c r="AJ47" i="12"/>
  <c r="AI47" i="12"/>
  <c r="AH47" i="12"/>
  <c r="AG47" i="12"/>
  <c r="AF47" i="12"/>
  <c r="AE47" i="12"/>
  <c r="AD47" i="12"/>
  <c r="AA47" i="12"/>
  <c r="Z47" i="12"/>
  <c r="Y47" i="12"/>
  <c r="X47" i="12"/>
  <c r="W47" i="12"/>
  <c r="V47" i="12"/>
  <c r="U47" i="12"/>
  <c r="AB47" i="12" s="1"/>
  <c r="R47" i="12"/>
  <c r="Q47" i="12"/>
  <c r="P47" i="12"/>
  <c r="O47" i="12"/>
  <c r="N47" i="12"/>
  <c r="M47" i="12"/>
  <c r="L47" i="12"/>
  <c r="I47" i="12"/>
  <c r="H47" i="12"/>
  <c r="G47" i="12"/>
  <c r="F47" i="12"/>
  <c r="E47" i="12"/>
  <c r="D47" i="12"/>
  <c r="C47" i="12"/>
  <c r="J47" i="12" s="1"/>
  <c r="AX46" i="12"/>
  <c r="AT46" i="12"/>
  <c r="AK46" i="12"/>
  <c r="AB46" i="12"/>
  <c r="S46" i="12"/>
  <c r="J46" i="12"/>
  <c r="AY46" i="12" s="1"/>
  <c r="AW45" i="12"/>
  <c r="AV45" i="12"/>
  <c r="AX45" i="12" s="1"/>
  <c r="AS45" i="12"/>
  <c r="AR45" i="12"/>
  <c r="AQ45" i="12"/>
  <c r="AP45" i="12"/>
  <c r="AO45" i="12"/>
  <c r="AN45" i="12"/>
  <c r="AM45" i="12"/>
  <c r="AT45" i="12" s="1"/>
  <c r="AJ45" i="12"/>
  <c r="AI45" i="12"/>
  <c r="AH45" i="12"/>
  <c r="AG45" i="12"/>
  <c r="AF45" i="12"/>
  <c r="AE45" i="12"/>
  <c r="AD45" i="12"/>
  <c r="AA45" i="12"/>
  <c r="Z45" i="12"/>
  <c r="Y45" i="12"/>
  <c r="X45" i="12"/>
  <c r="W45" i="12"/>
  <c r="V45" i="12"/>
  <c r="U45" i="12"/>
  <c r="R45" i="12"/>
  <c r="Q45" i="12"/>
  <c r="P45" i="12"/>
  <c r="O45" i="12"/>
  <c r="N45" i="12"/>
  <c r="M45" i="12"/>
  <c r="L45" i="12"/>
  <c r="I45" i="12"/>
  <c r="H45" i="12"/>
  <c r="G45" i="12"/>
  <c r="F45" i="12"/>
  <c r="E45" i="12"/>
  <c r="D45" i="12"/>
  <c r="C45" i="12"/>
  <c r="AW44" i="12"/>
  <c r="AV44" i="12"/>
  <c r="AX44" i="12" s="1"/>
  <c r="AS44" i="12"/>
  <c r="AR44" i="12"/>
  <c r="AQ44" i="12"/>
  <c r="AP44" i="12"/>
  <c r="AO44" i="12"/>
  <c r="AN44" i="12"/>
  <c r="AM44" i="12"/>
  <c r="AT44" i="12" s="1"/>
  <c r="AJ44" i="12"/>
  <c r="AI44" i="12"/>
  <c r="AH44" i="12"/>
  <c r="AG44" i="12"/>
  <c r="AF44" i="12"/>
  <c r="AE44" i="12"/>
  <c r="AD44" i="12"/>
  <c r="AK44" i="12" s="1"/>
  <c r="AA44" i="12"/>
  <c r="Z44" i="12"/>
  <c r="Y44" i="12"/>
  <c r="X44" i="12"/>
  <c r="W44" i="12"/>
  <c r="V44" i="12"/>
  <c r="U44" i="12"/>
  <c r="AB44" i="12" s="1"/>
  <c r="R44" i="12"/>
  <c r="Q44" i="12"/>
  <c r="P44" i="12"/>
  <c r="O44" i="12"/>
  <c r="N44" i="12"/>
  <c r="M44" i="12"/>
  <c r="L44" i="12"/>
  <c r="S44" i="12" s="1"/>
  <c r="I44" i="12"/>
  <c r="H44" i="12"/>
  <c r="G44" i="12"/>
  <c r="F44" i="12"/>
  <c r="E44" i="12"/>
  <c r="D44" i="12"/>
  <c r="C44" i="12"/>
  <c r="J44" i="12" s="1"/>
  <c r="AW42" i="12"/>
  <c r="AV42" i="12"/>
  <c r="AS42" i="12"/>
  <c r="AR42" i="12"/>
  <c r="AQ42" i="12"/>
  <c r="AP42" i="12"/>
  <c r="AO42" i="12"/>
  <c r="AN42" i="12"/>
  <c r="AM42" i="12"/>
  <c r="AJ42" i="12"/>
  <c r="AI42" i="12"/>
  <c r="AH42" i="12"/>
  <c r="AG42" i="12"/>
  <c r="AF42" i="12"/>
  <c r="AE42" i="12"/>
  <c r="AD42" i="12"/>
  <c r="AA42" i="12"/>
  <c r="Z42" i="12"/>
  <c r="Y42" i="12"/>
  <c r="X42" i="12"/>
  <c r="W42" i="12"/>
  <c r="V42" i="12"/>
  <c r="U42" i="12"/>
  <c r="R42" i="12"/>
  <c r="Q42" i="12"/>
  <c r="P42" i="12"/>
  <c r="O42" i="12"/>
  <c r="N42" i="12"/>
  <c r="M42" i="12"/>
  <c r="L42" i="12"/>
  <c r="I42" i="12"/>
  <c r="H42" i="12"/>
  <c r="G42" i="12"/>
  <c r="F42" i="12"/>
  <c r="E42" i="12"/>
  <c r="D42" i="12"/>
  <c r="C42" i="12"/>
  <c r="AR40" i="12"/>
  <c r="Z40" i="12"/>
  <c r="H40" i="12"/>
  <c r="AX37" i="12"/>
  <c r="AW37" i="12"/>
  <c r="AV37" i="12"/>
  <c r="AS37" i="12"/>
  <c r="AR37" i="12"/>
  <c r="AQ37" i="12"/>
  <c r="AP37" i="12"/>
  <c r="AO37" i="12"/>
  <c r="AT37" i="12" s="1"/>
  <c r="AN37" i="12"/>
  <c r="AM37" i="12"/>
  <c r="AJ37" i="12"/>
  <c r="AI37" i="12"/>
  <c r="AH37" i="12"/>
  <c r="AG37" i="12"/>
  <c r="AF37" i="12"/>
  <c r="AK37" i="12" s="1"/>
  <c r="AE37" i="12"/>
  <c r="AD37" i="12"/>
  <c r="AA37" i="12"/>
  <c r="Z37" i="12"/>
  <c r="Y37" i="12"/>
  <c r="X37" i="12"/>
  <c r="W37" i="12"/>
  <c r="AB37" i="12" s="1"/>
  <c r="V37" i="12"/>
  <c r="U37" i="12"/>
  <c r="R37" i="12"/>
  <c r="Q37" i="12"/>
  <c r="P37" i="12"/>
  <c r="O37" i="12"/>
  <c r="N37" i="12"/>
  <c r="S37" i="12" s="1"/>
  <c r="M37" i="12"/>
  <c r="L37" i="12"/>
  <c r="I37" i="12"/>
  <c r="H37" i="12"/>
  <c r="G37" i="12"/>
  <c r="F37" i="12"/>
  <c r="E37" i="12"/>
  <c r="J37" i="12" s="1"/>
  <c r="D37" i="12"/>
  <c r="C37" i="12"/>
  <c r="AX36" i="12"/>
  <c r="AT36" i="12"/>
  <c r="AK36" i="12"/>
  <c r="AB36" i="12"/>
  <c r="S36" i="12"/>
  <c r="AY36" i="12" s="1"/>
  <c r="J36" i="12"/>
  <c r="AX35" i="12"/>
  <c r="AT35" i="12"/>
  <c r="AK35" i="12"/>
  <c r="AB35" i="12"/>
  <c r="S35" i="12"/>
  <c r="J35" i="12"/>
  <c r="AY35" i="12" s="1"/>
  <c r="AX34" i="12"/>
  <c r="AT34" i="12"/>
  <c r="AK34" i="12"/>
  <c r="AB34" i="12"/>
  <c r="S34" i="12"/>
  <c r="J34" i="12"/>
  <c r="AY34" i="12" s="1"/>
  <c r="AY33" i="12"/>
  <c r="AX33" i="12"/>
  <c r="AT33" i="12"/>
  <c r="AK33" i="12"/>
  <c r="AB33" i="12"/>
  <c r="S33" i="12"/>
  <c r="J33" i="12"/>
  <c r="AX32" i="12"/>
  <c r="AW32" i="12"/>
  <c r="AV32" i="12"/>
  <c r="AT32" i="12"/>
  <c r="AS32" i="12"/>
  <c r="AR32" i="12"/>
  <c r="AQ32" i="12"/>
  <c r="AP32" i="12"/>
  <c r="AO32" i="12"/>
  <c r="AN32" i="12"/>
  <c r="AM32" i="12"/>
  <c r="AK32" i="12"/>
  <c r="AJ32" i="12"/>
  <c r="AI32" i="12"/>
  <c r="AH32" i="12"/>
  <c r="AG32" i="12"/>
  <c r="AF32" i="12"/>
  <c r="AE32" i="12"/>
  <c r="AD32" i="12"/>
  <c r="AB32" i="12"/>
  <c r="AA32" i="12"/>
  <c r="Z32" i="12"/>
  <c r="Y32" i="12"/>
  <c r="X32" i="12"/>
  <c r="W32" i="12"/>
  <c r="V32" i="12"/>
  <c r="U32" i="12"/>
  <c r="S32" i="12"/>
  <c r="R32" i="12"/>
  <c r="Q32" i="12"/>
  <c r="P32" i="12"/>
  <c r="O32" i="12"/>
  <c r="N32" i="12"/>
  <c r="M32" i="12"/>
  <c r="L32" i="12"/>
  <c r="J32" i="12"/>
  <c r="AY32" i="12" s="1"/>
  <c r="I32" i="12"/>
  <c r="H32" i="12"/>
  <c r="G32" i="12"/>
  <c r="F32" i="12"/>
  <c r="E32" i="12"/>
  <c r="D32" i="12"/>
  <c r="C32" i="12"/>
  <c r="AX31" i="12"/>
  <c r="AW31" i="12"/>
  <c r="AV31" i="12"/>
  <c r="AS31" i="12"/>
  <c r="AR31" i="12"/>
  <c r="AQ31" i="12"/>
  <c r="AP31" i="12"/>
  <c r="AO31" i="12"/>
  <c r="AN31" i="12"/>
  <c r="AM31" i="12"/>
  <c r="AJ31" i="12"/>
  <c r="AI31" i="12"/>
  <c r="AH31" i="12"/>
  <c r="AG31" i="12"/>
  <c r="AF31" i="12"/>
  <c r="AE31" i="12"/>
  <c r="AD31" i="12"/>
  <c r="AA31" i="12"/>
  <c r="Z31" i="12"/>
  <c r="Y31" i="12"/>
  <c r="X31" i="12"/>
  <c r="W31" i="12"/>
  <c r="V31" i="12"/>
  <c r="U31" i="12"/>
  <c r="R31" i="12"/>
  <c r="Q31" i="12"/>
  <c r="P31" i="12"/>
  <c r="O31" i="12"/>
  <c r="N31" i="12"/>
  <c r="M31" i="12"/>
  <c r="L31" i="12"/>
  <c r="I31" i="12"/>
  <c r="H31" i="12"/>
  <c r="G31" i="12"/>
  <c r="F31" i="12"/>
  <c r="E31" i="12"/>
  <c r="D31" i="12"/>
  <c r="C31" i="12"/>
  <c r="J31" i="12" s="1"/>
  <c r="AW30" i="12"/>
  <c r="AX30" i="12" s="1"/>
  <c r="AV30" i="12"/>
  <c r="AS30" i="12"/>
  <c r="AR30" i="12"/>
  <c r="AQ30" i="12"/>
  <c r="AP30" i="12"/>
  <c r="AO30" i="12"/>
  <c r="AN30" i="12"/>
  <c r="AT30" i="12" s="1"/>
  <c r="AM30" i="12"/>
  <c r="AJ30" i="12"/>
  <c r="AI30" i="12"/>
  <c r="AH30" i="12"/>
  <c r="AG30" i="12"/>
  <c r="AF30" i="12"/>
  <c r="AE30" i="12"/>
  <c r="AK30" i="12" s="1"/>
  <c r="AD30" i="12"/>
  <c r="AA30" i="12"/>
  <c r="Z30" i="12"/>
  <c r="Y30" i="12"/>
  <c r="X30" i="12"/>
  <c r="W30" i="12"/>
  <c r="V30" i="12"/>
  <c r="AB30" i="12" s="1"/>
  <c r="U30" i="12"/>
  <c r="R30" i="12"/>
  <c r="Q30" i="12"/>
  <c r="P30" i="12"/>
  <c r="O30" i="12"/>
  <c r="N30" i="12"/>
  <c r="M30" i="12"/>
  <c r="S30" i="12" s="1"/>
  <c r="L30" i="12"/>
  <c r="I30" i="12"/>
  <c r="H30" i="12"/>
  <c r="G30" i="12"/>
  <c r="F30" i="12"/>
  <c r="E30" i="12"/>
  <c r="D30" i="12"/>
  <c r="J30" i="12" s="1"/>
  <c r="C30" i="12"/>
  <c r="AW29" i="12"/>
  <c r="AV29" i="12"/>
  <c r="AX29" i="12" s="1"/>
  <c r="AT29" i="12"/>
  <c r="AS29" i="12"/>
  <c r="AR29" i="12"/>
  <c r="AQ29" i="12"/>
  <c r="AP29" i="12"/>
  <c r="AO29" i="12"/>
  <c r="AN29" i="12"/>
  <c r="AM29" i="12"/>
  <c r="AK29" i="12"/>
  <c r="AJ29" i="12"/>
  <c r="AI29" i="12"/>
  <c r="AH29" i="12"/>
  <c r="AG29" i="12"/>
  <c r="AF29" i="12"/>
  <c r="AE29" i="12"/>
  <c r="AD29" i="12"/>
  <c r="AB29" i="12"/>
  <c r="AA29" i="12"/>
  <c r="Z29" i="12"/>
  <c r="Y29" i="12"/>
  <c r="X29" i="12"/>
  <c r="W29" i="12"/>
  <c r="V29" i="12"/>
  <c r="U29" i="12"/>
  <c r="S29" i="12"/>
  <c r="R29" i="12"/>
  <c r="Q29" i="12"/>
  <c r="P29" i="12"/>
  <c r="O29" i="12"/>
  <c r="N29" i="12"/>
  <c r="M29" i="12"/>
  <c r="L29" i="12"/>
  <c r="J29" i="12"/>
  <c r="I29" i="12"/>
  <c r="H29" i="12"/>
  <c r="G29" i="12"/>
  <c r="F29" i="12"/>
  <c r="E29" i="12"/>
  <c r="D29" i="12"/>
  <c r="C29" i="12"/>
  <c r="AY28" i="12"/>
  <c r="AX28" i="12"/>
  <c r="AT28" i="12"/>
  <c r="AK28" i="12"/>
  <c r="AB28" i="12"/>
  <c r="S28" i="12"/>
  <c r="J28" i="12"/>
  <c r="AX27" i="12"/>
  <c r="AW27" i="12"/>
  <c r="AV27" i="12"/>
  <c r="AS27" i="12"/>
  <c r="AR27" i="12"/>
  <c r="AQ27" i="12"/>
  <c r="AP27" i="12"/>
  <c r="AO27" i="12"/>
  <c r="AN27" i="12"/>
  <c r="AM27" i="12"/>
  <c r="AJ27" i="12"/>
  <c r="AI27" i="12"/>
  <c r="AH27" i="12"/>
  <c r="AG27" i="12"/>
  <c r="AF27" i="12"/>
  <c r="AE27" i="12"/>
  <c r="AD27" i="12"/>
  <c r="AK27" i="12" s="1"/>
  <c r="AA27" i="12"/>
  <c r="Z27" i="12"/>
  <c r="Y27" i="12"/>
  <c r="X27" i="12"/>
  <c r="W27" i="12"/>
  <c r="V27" i="12"/>
  <c r="U27" i="12"/>
  <c r="R27" i="12"/>
  <c r="Q27" i="12"/>
  <c r="P27" i="12"/>
  <c r="O27" i="12"/>
  <c r="N27" i="12"/>
  <c r="M27" i="12"/>
  <c r="L27" i="12"/>
  <c r="I27" i="12"/>
  <c r="H27" i="12"/>
  <c r="G27" i="12"/>
  <c r="F27" i="12"/>
  <c r="E27" i="12"/>
  <c r="D27" i="12"/>
  <c r="C27" i="12"/>
  <c r="AW26" i="12"/>
  <c r="AX26" i="12" s="1"/>
  <c r="AV26" i="12"/>
  <c r="AS26" i="12"/>
  <c r="AR26" i="12"/>
  <c r="AQ26" i="12"/>
  <c r="AP26" i="12"/>
  <c r="AO26" i="12"/>
  <c r="AN26" i="12"/>
  <c r="AT26" i="12" s="1"/>
  <c r="AM26" i="12"/>
  <c r="AJ26" i="12"/>
  <c r="AI26" i="12"/>
  <c r="AH26" i="12"/>
  <c r="AG26" i="12"/>
  <c r="AF26" i="12"/>
  <c r="AE26" i="12"/>
  <c r="AK26" i="12" s="1"/>
  <c r="AD26" i="12"/>
  <c r="AA26" i="12"/>
  <c r="Z26" i="12"/>
  <c r="Y26" i="12"/>
  <c r="X26" i="12"/>
  <c r="W26" i="12"/>
  <c r="V26" i="12"/>
  <c r="AB26" i="12" s="1"/>
  <c r="U26" i="12"/>
  <c r="R26" i="12"/>
  <c r="Q26" i="12"/>
  <c r="P26" i="12"/>
  <c r="O26" i="12"/>
  <c r="N26" i="12"/>
  <c r="M26" i="12"/>
  <c r="S26" i="12" s="1"/>
  <c r="L26" i="12"/>
  <c r="I26" i="12"/>
  <c r="H26" i="12"/>
  <c r="G26" i="12"/>
  <c r="F26" i="12"/>
  <c r="E26" i="12"/>
  <c r="D26" i="12"/>
  <c r="J26" i="12" s="1"/>
  <c r="C26" i="12"/>
  <c r="AW24" i="12"/>
  <c r="AV24" i="12"/>
  <c r="AS24" i="12"/>
  <c r="AR24" i="12"/>
  <c r="AQ24" i="12"/>
  <c r="AP24" i="12"/>
  <c r="AO24" i="12"/>
  <c r="AN24" i="12"/>
  <c r="AM24" i="12"/>
  <c r="AJ24" i="12"/>
  <c r="AI24" i="12"/>
  <c r="AH24" i="12"/>
  <c r="AG24" i="12"/>
  <c r="AF24" i="12"/>
  <c r="AE24" i="12"/>
  <c r="AD24" i="12"/>
  <c r="AA24" i="12"/>
  <c r="Z24" i="12"/>
  <c r="Y24" i="12"/>
  <c r="X24" i="12"/>
  <c r="W24" i="12"/>
  <c r="V24" i="12"/>
  <c r="U24" i="12"/>
  <c r="R24" i="12"/>
  <c r="Q24" i="12"/>
  <c r="P24" i="12"/>
  <c r="O24" i="12"/>
  <c r="N24" i="12"/>
  <c r="M24" i="12"/>
  <c r="L24" i="12"/>
  <c r="I24" i="12"/>
  <c r="H24" i="12"/>
  <c r="G24" i="12"/>
  <c r="F24" i="12"/>
  <c r="E24" i="12"/>
  <c r="D24" i="12"/>
  <c r="C24" i="12"/>
  <c r="AR22" i="12"/>
  <c r="Z22" i="12"/>
  <c r="H22" i="12"/>
  <c r="AW19" i="12"/>
  <c r="AV19" i="12"/>
  <c r="AX19" i="12" s="1"/>
  <c r="AT19" i="12"/>
  <c r="AS19" i="12"/>
  <c r="AR19" i="12"/>
  <c r="AQ19" i="12"/>
  <c r="AP19" i="12"/>
  <c r="AO19" i="12"/>
  <c r="AN19" i="12"/>
  <c r="AM19" i="12"/>
  <c r="AK19" i="12"/>
  <c r="AJ19" i="12"/>
  <c r="AI19" i="12"/>
  <c r="AH19" i="12"/>
  <c r="AG19" i="12"/>
  <c r="AF19" i="12"/>
  <c r="AE19" i="12"/>
  <c r="AD19" i="12"/>
  <c r="AB19" i="12"/>
  <c r="AA19" i="12"/>
  <c r="Z19" i="12"/>
  <c r="Y19" i="12"/>
  <c r="X19" i="12"/>
  <c r="W19" i="12"/>
  <c r="V19" i="12"/>
  <c r="U19" i="12"/>
  <c r="S19" i="12"/>
  <c r="R19" i="12"/>
  <c r="Q19" i="12"/>
  <c r="P19" i="12"/>
  <c r="O19" i="12"/>
  <c r="N19" i="12"/>
  <c r="M19" i="12"/>
  <c r="L19" i="12"/>
  <c r="I19" i="12"/>
  <c r="H19" i="12"/>
  <c r="G19" i="12"/>
  <c r="F19" i="12"/>
  <c r="J19" i="12" s="1"/>
  <c r="E19" i="12"/>
  <c r="D19" i="12"/>
  <c r="C19" i="12"/>
  <c r="AY18" i="12"/>
  <c r="AX18" i="12"/>
  <c r="AT18" i="12"/>
  <c r="AK18" i="12"/>
  <c r="AB18" i="12"/>
  <c r="S18" i="12"/>
  <c r="J18" i="12"/>
  <c r="AX17" i="12"/>
  <c r="AT17" i="12"/>
  <c r="AK17" i="12"/>
  <c r="AY17" i="12" s="1"/>
  <c r="AB17" i="12"/>
  <c r="S17" i="12"/>
  <c r="J17" i="12"/>
  <c r="AX16" i="12"/>
  <c r="AT16" i="12"/>
  <c r="AK16" i="12"/>
  <c r="AB16" i="12"/>
  <c r="S16" i="12"/>
  <c r="AY16" i="12" s="1"/>
  <c r="J16" i="12"/>
  <c r="AX15" i="12"/>
  <c r="AT15" i="12"/>
  <c r="AK15" i="12"/>
  <c r="AB15" i="12"/>
  <c r="S15" i="12"/>
  <c r="J15" i="12"/>
  <c r="AY15" i="12" s="1"/>
  <c r="AW14" i="12"/>
  <c r="AV14" i="12"/>
  <c r="AX14" i="12" s="1"/>
  <c r="AT14" i="12"/>
  <c r="AS14" i="12"/>
  <c r="AR14" i="12"/>
  <c r="AQ14" i="12"/>
  <c r="AP14" i="12"/>
  <c r="AO14" i="12"/>
  <c r="AN14" i="12"/>
  <c r="AM14" i="12"/>
  <c r="AK14" i="12"/>
  <c r="AJ14" i="12"/>
  <c r="AI14" i="12"/>
  <c r="AH14" i="12"/>
  <c r="AG14" i="12"/>
  <c r="AF14" i="12"/>
  <c r="AE14" i="12"/>
  <c r="AD14" i="12"/>
  <c r="AB14" i="12"/>
  <c r="AA14" i="12"/>
  <c r="Z14" i="12"/>
  <c r="Y14" i="12"/>
  <c r="X14" i="12"/>
  <c r="W14" i="12"/>
  <c r="V14" i="12"/>
  <c r="U14" i="12"/>
  <c r="S14" i="12"/>
  <c r="R14" i="12"/>
  <c r="Q14" i="12"/>
  <c r="P14" i="12"/>
  <c r="O14" i="12"/>
  <c r="N14" i="12"/>
  <c r="M14" i="12"/>
  <c r="L14" i="12"/>
  <c r="I14" i="12"/>
  <c r="H14" i="12"/>
  <c r="G14" i="12"/>
  <c r="F14" i="12"/>
  <c r="E14" i="12"/>
  <c r="D14" i="12"/>
  <c r="C14" i="12"/>
  <c r="AW13" i="12"/>
  <c r="AX13" i="12" s="1"/>
  <c r="AV13" i="12"/>
  <c r="AS13" i="12"/>
  <c r="AR13" i="12"/>
  <c r="AQ13" i="12"/>
  <c r="AP13" i="12"/>
  <c r="AO13" i="12"/>
  <c r="AN13" i="12"/>
  <c r="AM13" i="12"/>
  <c r="AT13" i="12" s="1"/>
  <c r="AJ13" i="12"/>
  <c r="AI13" i="12"/>
  <c r="AH13" i="12"/>
  <c r="AG13" i="12"/>
  <c r="AF13" i="12"/>
  <c r="AE13" i="12"/>
  <c r="AD13" i="12"/>
  <c r="AK13" i="12" s="1"/>
  <c r="AA13" i="12"/>
  <c r="Z13" i="12"/>
  <c r="Y13" i="12"/>
  <c r="X13" i="12"/>
  <c r="W13" i="12"/>
  <c r="V13" i="12"/>
  <c r="U13" i="12"/>
  <c r="AB13" i="12" s="1"/>
  <c r="R13" i="12"/>
  <c r="Q13" i="12"/>
  <c r="P13" i="12"/>
  <c r="O13" i="12"/>
  <c r="N13" i="12"/>
  <c r="M13" i="12"/>
  <c r="L13" i="12"/>
  <c r="S13" i="12" s="1"/>
  <c r="I13" i="12"/>
  <c r="H13" i="12"/>
  <c r="G13" i="12"/>
  <c r="F13" i="12"/>
  <c r="E13" i="12"/>
  <c r="D13" i="12"/>
  <c r="C13" i="12"/>
  <c r="AW12" i="12"/>
  <c r="AV12" i="12"/>
  <c r="AX12" i="12" s="1"/>
  <c r="AT12" i="12"/>
  <c r="AS12" i="12"/>
  <c r="AR12" i="12"/>
  <c r="AQ12" i="12"/>
  <c r="AP12" i="12"/>
  <c r="AO12" i="12"/>
  <c r="AN12" i="12"/>
  <c r="AM12" i="12"/>
  <c r="AJ12" i="12"/>
  <c r="AG12" i="12"/>
  <c r="AF12" i="12"/>
  <c r="AE12" i="12"/>
  <c r="AD12" i="12"/>
  <c r="AH12" i="12" s="1"/>
  <c r="AB12" i="12"/>
  <c r="AA12" i="12"/>
  <c r="Z12" i="12"/>
  <c r="Y12" i="12"/>
  <c r="X12" i="12"/>
  <c r="W12" i="12"/>
  <c r="V12" i="12"/>
  <c r="U12" i="12"/>
  <c r="R12" i="12"/>
  <c r="O12" i="12"/>
  <c r="N12" i="12"/>
  <c r="M12" i="12"/>
  <c r="L12" i="12"/>
  <c r="P12" i="12" s="1"/>
  <c r="I12" i="12"/>
  <c r="F12" i="12"/>
  <c r="E12" i="12"/>
  <c r="D12" i="12"/>
  <c r="C12" i="12"/>
  <c r="G12" i="12" s="1"/>
  <c r="AW11" i="12"/>
  <c r="AV11" i="12"/>
  <c r="AX11" i="12" s="1"/>
  <c r="AS11" i="12"/>
  <c r="AR11" i="12"/>
  <c r="AQ11" i="12"/>
  <c r="AP11" i="12"/>
  <c r="AO11" i="12"/>
  <c r="AN11" i="12"/>
  <c r="AM11" i="12"/>
  <c r="AT11" i="12" s="1"/>
  <c r="AJ11" i="12"/>
  <c r="AG11" i="12"/>
  <c r="AF11" i="12"/>
  <c r="AE11" i="12"/>
  <c r="AH11" i="12" s="1"/>
  <c r="AD11" i="12"/>
  <c r="AA11" i="12"/>
  <c r="Z11" i="12"/>
  <c r="Y11" i="12"/>
  <c r="X11" i="12"/>
  <c r="W11" i="12"/>
  <c r="V11" i="12"/>
  <c r="U11" i="12"/>
  <c r="AB11" i="12" s="1"/>
  <c r="R11" i="12"/>
  <c r="O11" i="12"/>
  <c r="N11" i="12"/>
  <c r="M11" i="12"/>
  <c r="P11" i="12" s="1"/>
  <c r="L11" i="12"/>
  <c r="I11" i="12"/>
  <c r="F11" i="12"/>
  <c r="E11" i="12"/>
  <c r="D11" i="12"/>
  <c r="G11" i="12" s="1"/>
  <c r="C11" i="12"/>
  <c r="AX10" i="12"/>
  <c r="AT10" i="12"/>
  <c r="AK10" i="12"/>
  <c r="AB10" i="12"/>
  <c r="S10" i="12"/>
  <c r="J10" i="12"/>
  <c r="AY10" i="12" s="1"/>
  <c r="AW9" i="12"/>
  <c r="AV9" i="12"/>
  <c r="AX9" i="12" s="1"/>
  <c r="AS9" i="12"/>
  <c r="AR9" i="12"/>
  <c r="AQ9" i="12"/>
  <c r="AT9" i="12" s="1"/>
  <c r="AP9" i="12"/>
  <c r="AO9" i="12"/>
  <c r="AN9" i="12"/>
  <c r="AM9" i="12"/>
  <c r="AJ9" i="12"/>
  <c r="AI9" i="12"/>
  <c r="AH9" i="12"/>
  <c r="AK9" i="12" s="1"/>
  <c r="AG9" i="12"/>
  <c r="AF9" i="12"/>
  <c r="AE9" i="12"/>
  <c r="AD9" i="12"/>
  <c r="AA9" i="12"/>
  <c r="Z9" i="12"/>
  <c r="Y9" i="12"/>
  <c r="AB9" i="12" s="1"/>
  <c r="X9" i="12"/>
  <c r="W9" i="12"/>
  <c r="V9" i="12"/>
  <c r="U9" i="12"/>
  <c r="R9" i="12"/>
  <c r="Q9" i="12"/>
  <c r="P9" i="12"/>
  <c r="S9" i="12" s="1"/>
  <c r="O9" i="12"/>
  <c r="N9" i="12"/>
  <c r="M9" i="12"/>
  <c r="L9" i="12"/>
  <c r="I9" i="12"/>
  <c r="H9" i="12"/>
  <c r="G9" i="12"/>
  <c r="F9" i="12"/>
  <c r="E9" i="12"/>
  <c r="D9" i="12"/>
  <c r="C9" i="12"/>
  <c r="AX8" i="12"/>
  <c r="AW8" i="12"/>
  <c r="AV8" i="12"/>
  <c r="AS8" i="12"/>
  <c r="AR8" i="12"/>
  <c r="AQ8" i="12"/>
  <c r="AP8" i="12"/>
  <c r="AO8" i="12"/>
  <c r="AN8" i="12"/>
  <c r="AM8" i="12"/>
  <c r="AT8" i="12" s="1"/>
  <c r="AJ8" i="12"/>
  <c r="AI8" i="12"/>
  <c r="AH8" i="12"/>
  <c r="AG8" i="12"/>
  <c r="AF8" i="12"/>
  <c r="AE8" i="12"/>
  <c r="AD8" i="12"/>
  <c r="AK8" i="12" s="1"/>
  <c r="AA8" i="12"/>
  <c r="Z8" i="12"/>
  <c r="Y8" i="12"/>
  <c r="X8" i="12"/>
  <c r="W8" i="12"/>
  <c r="V8" i="12"/>
  <c r="U8" i="12"/>
  <c r="AB8" i="12" s="1"/>
  <c r="R8" i="12"/>
  <c r="Q8" i="12"/>
  <c r="P8" i="12"/>
  <c r="O8" i="12"/>
  <c r="N8" i="12"/>
  <c r="M8" i="12"/>
  <c r="L8" i="12"/>
  <c r="S8" i="12" s="1"/>
  <c r="I8" i="12"/>
  <c r="H8" i="12"/>
  <c r="G8" i="12"/>
  <c r="F8" i="12"/>
  <c r="E8" i="12"/>
  <c r="D8" i="12"/>
  <c r="C8" i="12"/>
  <c r="AW6" i="12"/>
  <c r="AV6" i="12"/>
  <c r="AS6" i="12"/>
  <c r="AR6" i="12"/>
  <c r="AQ6" i="12"/>
  <c r="AP6" i="12"/>
  <c r="AO6" i="12"/>
  <c r="AN6" i="12"/>
  <c r="AM6" i="12"/>
  <c r="AJ6" i="12"/>
  <c r="AI6" i="12"/>
  <c r="AH6" i="12"/>
  <c r="AG6" i="12"/>
  <c r="AF6" i="12"/>
  <c r="AE6" i="12"/>
  <c r="AD6" i="12"/>
  <c r="AA6" i="12"/>
  <c r="Z6" i="12"/>
  <c r="Y6" i="12"/>
  <c r="X6" i="12"/>
  <c r="W6" i="12"/>
  <c r="V6" i="12"/>
  <c r="U6" i="12"/>
  <c r="R6" i="12"/>
  <c r="Q6" i="12"/>
  <c r="P6" i="12"/>
  <c r="O6" i="12"/>
  <c r="N6" i="12"/>
  <c r="M6" i="12"/>
  <c r="L6" i="12"/>
  <c r="I6" i="12"/>
  <c r="H6" i="12"/>
  <c r="G6" i="12"/>
  <c r="F6" i="12"/>
  <c r="E6" i="12"/>
  <c r="D6" i="12"/>
  <c r="C6" i="12"/>
  <c r="AR4" i="12"/>
  <c r="Z4" i="12"/>
  <c r="H4" i="12"/>
  <c r="H11" i="12" l="1"/>
  <c r="J14" i="12"/>
  <c r="AY14" i="12" s="1"/>
  <c r="J8" i="12"/>
  <c r="AY8" i="12" s="1"/>
  <c r="J13" i="12"/>
  <c r="AY13" i="12" s="1"/>
  <c r="J9" i="12"/>
  <c r="AY9" i="12" s="1"/>
  <c r="S12" i="12"/>
  <c r="Q12" i="12"/>
  <c r="Q11" i="12"/>
  <c r="H12" i="12"/>
  <c r="J12" i="12" s="1"/>
  <c r="AY19" i="12"/>
  <c r="AY30" i="12"/>
  <c r="AY37" i="12"/>
  <c r="AI11" i="12"/>
  <c r="AK11" i="12" s="1"/>
  <c r="AI12" i="12"/>
  <c r="AK12" i="12" s="1"/>
  <c r="AY26" i="12"/>
  <c r="AY29" i="12"/>
  <c r="J27" i="12"/>
  <c r="AB45" i="12"/>
  <c r="AB48" i="12"/>
  <c r="AY49" i="12"/>
  <c r="AT50" i="12"/>
  <c r="S55" i="12"/>
  <c r="S66" i="12"/>
  <c r="AK68" i="12"/>
  <c r="J73" i="12"/>
  <c r="AY103" i="12"/>
  <c r="AY152" i="12"/>
  <c r="AY175" i="12"/>
  <c r="AY194" i="12"/>
  <c r="J11" i="12"/>
  <c r="S11" i="12"/>
  <c r="AT31" i="12"/>
  <c r="S45" i="12"/>
  <c r="AT47" i="12"/>
  <c r="S48" i="12"/>
  <c r="AK50" i="12"/>
  <c r="J55" i="12"/>
  <c r="AY55" i="12" s="1"/>
  <c r="AY104" i="12"/>
  <c r="AY109" i="12"/>
  <c r="AY138" i="12"/>
  <c r="AY145" i="12"/>
  <c r="AY171" i="12"/>
  <c r="AY188" i="12"/>
  <c r="AY191" i="12"/>
  <c r="AY206" i="12"/>
  <c r="AY211" i="12"/>
  <c r="AK31" i="12"/>
  <c r="J45" i="12"/>
  <c r="AY45" i="12" s="1"/>
  <c r="AK47" i="12"/>
  <c r="J48" i="12"/>
  <c r="S68" i="12"/>
  <c r="AY117" i="12"/>
  <c r="AY120" i="12"/>
  <c r="AY134" i="12"/>
  <c r="AB31" i="12"/>
  <c r="AY68" i="12"/>
  <c r="AY99" i="12"/>
  <c r="AY127" i="12"/>
  <c r="AY135" i="12"/>
  <c r="AY140" i="12"/>
  <c r="AY155" i="12"/>
  <c r="AY157" i="12"/>
  <c r="AY174" i="12"/>
  <c r="AZ167" i="12" s="1"/>
  <c r="AY193" i="12"/>
  <c r="AZ185" i="12" s="1"/>
  <c r="AY217" i="12"/>
  <c r="AT27" i="12"/>
  <c r="S31" i="12"/>
  <c r="AY31" i="12" s="1"/>
  <c r="S47" i="12"/>
  <c r="AY47" i="12" s="1"/>
  <c r="AY50" i="12"/>
  <c r="AY65" i="12"/>
  <c r="AZ149" i="12"/>
  <c r="AZ203" i="12"/>
  <c r="AY44" i="12"/>
  <c r="AY62" i="12"/>
  <c r="AT66" i="12"/>
  <c r="AK73" i="12"/>
  <c r="AY84" i="12"/>
  <c r="AY86" i="12"/>
  <c r="AY102" i="12"/>
  <c r="AZ95" i="12" s="1"/>
  <c r="AY116" i="12"/>
  <c r="AY119" i="12"/>
  <c r="AY173" i="12"/>
  <c r="AY199" i="12"/>
  <c r="AB27" i="12"/>
  <c r="AT48" i="12"/>
  <c r="AK55" i="12"/>
  <c r="AY67" i="12"/>
  <c r="AY98" i="12"/>
  <c r="AY139" i="12"/>
  <c r="S27" i="12"/>
  <c r="AK45" i="12"/>
  <c r="AK48" i="12"/>
  <c r="AB55" i="12"/>
  <c r="AB66" i="12"/>
  <c r="AY66" i="12" s="1"/>
  <c r="AZ59" i="12" s="1"/>
  <c r="AT68" i="12"/>
  <c r="S73" i="12"/>
  <c r="AY121" i="12"/>
  <c r="AY207" i="12"/>
  <c r="AY209" i="12"/>
  <c r="AY12" i="12" l="1"/>
  <c r="AZ5" i="12" s="1"/>
  <c r="BA5" i="12" s="1"/>
  <c r="AY73" i="12"/>
  <c r="AY27" i="12"/>
  <c r="AZ77" i="12"/>
  <c r="AZ23" i="12"/>
  <c r="AZ131" i="12"/>
  <c r="AZ113" i="12"/>
  <c r="AY48" i="12"/>
  <c r="AZ41" i="12" s="1"/>
  <c r="AY11" i="12"/>
  <c r="BA23" i="12" l="1"/>
  <c r="BA41" i="12" s="1"/>
  <c r="BA59" i="12" s="1"/>
  <c r="BA77" i="12" s="1"/>
  <c r="BA95" i="12" s="1"/>
  <c r="BA113" i="12" s="1"/>
  <c r="BA131" i="12" s="1"/>
  <c r="BA149" i="12" s="1"/>
  <c r="BA167" i="12" s="1"/>
  <c r="BA185" i="12" s="1"/>
  <c r="BA203" i="12" s="1"/>
  <c r="AS190" i="6" l="1"/>
  <c r="AR190" i="6"/>
  <c r="AQ190" i="6"/>
  <c r="AP190" i="6"/>
  <c r="AO190" i="6"/>
  <c r="AN190" i="6"/>
  <c r="AM190" i="6"/>
  <c r="AJ208" i="6"/>
  <c r="AI208" i="6"/>
  <c r="AH208" i="6"/>
  <c r="AG208" i="6"/>
  <c r="AF208" i="6"/>
  <c r="AE208" i="6"/>
  <c r="AD208" i="6"/>
  <c r="AA208" i="6"/>
  <c r="Z208" i="6"/>
  <c r="Y208" i="6"/>
  <c r="X208" i="6"/>
  <c r="W208" i="6"/>
  <c r="V208" i="6"/>
  <c r="U208" i="6"/>
  <c r="R208" i="6"/>
  <c r="Q208" i="6"/>
  <c r="P208" i="6"/>
  <c r="O208" i="6"/>
  <c r="N208" i="6"/>
  <c r="M208" i="6"/>
  <c r="L208" i="6"/>
  <c r="I208" i="6"/>
  <c r="H208" i="6"/>
  <c r="G208" i="6"/>
  <c r="F208" i="6"/>
  <c r="E208" i="6"/>
  <c r="D208" i="6"/>
  <c r="C208" i="6"/>
  <c r="AJ190" i="6"/>
  <c r="AI190" i="6"/>
  <c r="AH190" i="6"/>
  <c r="AG190" i="6"/>
  <c r="AF190" i="6"/>
  <c r="AE190" i="6"/>
  <c r="AD190" i="6"/>
  <c r="AA190" i="6"/>
  <c r="Z190" i="6"/>
  <c r="Y190" i="6"/>
  <c r="X190" i="6"/>
  <c r="W190" i="6"/>
  <c r="V190" i="6"/>
  <c r="U190" i="6"/>
  <c r="R190" i="6"/>
  <c r="Q190" i="6"/>
  <c r="P190" i="6"/>
  <c r="O190" i="6"/>
  <c r="N190" i="6"/>
  <c r="M190" i="6"/>
  <c r="L190" i="6"/>
  <c r="I190" i="6"/>
  <c r="H190" i="6"/>
  <c r="G190" i="6"/>
  <c r="F190" i="6"/>
  <c r="E190" i="6"/>
  <c r="D190" i="6"/>
  <c r="C190" i="6"/>
  <c r="I172" i="6"/>
  <c r="H172" i="6"/>
  <c r="G172" i="6"/>
  <c r="F172" i="6"/>
  <c r="E172" i="6"/>
  <c r="D172" i="6"/>
  <c r="C172" i="6"/>
  <c r="I154" i="6"/>
  <c r="H154" i="6"/>
  <c r="G154" i="6"/>
  <c r="F154" i="6"/>
  <c r="E154" i="6"/>
  <c r="D154" i="6"/>
  <c r="C154" i="6"/>
  <c r="R154" i="6"/>
  <c r="Q154" i="6"/>
  <c r="P154" i="6"/>
  <c r="O154" i="6"/>
  <c r="N154" i="6"/>
  <c r="M154" i="6"/>
  <c r="L154" i="6"/>
  <c r="R172" i="6"/>
  <c r="Q172" i="6"/>
  <c r="P172" i="6"/>
  <c r="O172" i="6"/>
  <c r="N172" i="6"/>
  <c r="M172" i="6"/>
  <c r="L172" i="6"/>
  <c r="AA172" i="6"/>
  <c r="Z172" i="6"/>
  <c r="Y172" i="6"/>
  <c r="X172" i="6"/>
  <c r="W172" i="6"/>
  <c r="V172" i="6"/>
  <c r="U172" i="6"/>
  <c r="AA154" i="6"/>
  <c r="Z154" i="6"/>
  <c r="Y154" i="6"/>
  <c r="X154" i="6"/>
  <c r="W154" i="6"/>
  <c r="V154" i="6"/>
  <c r="U154" i="6"/>
  <c r="AJ154" i="6"/>
  <c r="AI154" i="6"/>
  <c r="AH154" i="6"/>
  <c r="AG154" i="6"/>
  <c r="AF154" i="6"/>
  <c r="AE154" i="6"/>
  <c r="AD154" i="6"/>
  <c r="AJ172" i="6"/>
  <c r="AI172" i="6"/>
  <c r="AH172" i="6"/>
  <c r="AG172" i="6"/>
  <c r="AF172" i="6"/>
  <c r="AE172" i="6"/>
  <c r="AD172" i="6"/>
  <c r="AS172" i="6"/>
  <c r="AR172" i="6"/>
  <c r="AQ172" i="6"/>
  <c r="AP172" i="6"/>
  <c r="AO172" i="6"/>
  <c r="AN172" i="6"/>
  <c r="AM172" i="6"/>
  <c r="AS154" i="6"/>
  <c r="AR154" i="6"/>
  <c r="AQ154" i="6"/>
  <c r="AP154" i="6"/>
  <c r="AO154" i="6"/>
  <c r="AN154" i="6"/>
  <c r="AM154" i="6"/>
  <c r="AS118" i="6"/>
  <c r="AR118" i="6"/>
  <c r="AQ118" i="6"/>
  <c r="AP118" i="6"/>
  <c r="AO118" i="6"/>
  <c r="AN118" i="6"/>
  <c r="AM118" i="6"/>
  <c r="AS136" i="6"/>
  <c r="AR136" i="6"/>
  <c r="AQ136" i="6"/>
  <c r="AP136" i="6"/>
  <c r="AO136" i="6"/>
  <c r="AN136" i="6"/>
  <c r="AM136" i="6"/>
  <c r="AJ136" i="6"/>
  <c r="AI136" i="6"/>
  <c r="AH136" i="6"/>
  <c r="AG136" i="6"/>
  <c r="AF136" i="6"/>
  <c r="AE136" i="6"/>
  <c r="AD136" i="6"/>
  <c r="AA136" i="6"/>
  <c r="Z136" i="6"/>
  <c r="Y136" i="6"/>
  <c r="X136" i="6"/>
  <c r="W136" i="6"/>
  <c r="V136" i="6"/>
  <c r="U136" i="6"/>
  <c r="R136" i="6"/>
  <c r="Q136" i="6"/>
  <c r="P136" i="6"/>
  <c r="O136" i="6"/>
  <c r="N136" i="6"/>
  <c r="M136" i="6"/>
  <c r="L136" i="6"/>
  <c r="I136" i="6"/>
  <c r="H136" i="6"/>
  <c r="G136" i="6"/>
  <c r="F136" i="6"/>
  <c r="E136" i="6"/>
  <c r="D136" i="6"/>
  <c r="C136" i="6"/>
  <c r="AJ118" i="6"/>
  <c r="AI118" i="6"/>
  <c r="AH118" i="6"/>
  <c r="AG118" i="6"/>
  <c r="AF118" i="6"/>
  <c r="AE118" i="6"/>
  <c r="AD118" i="6"/>
  <c r="AA118" i="6"/>
  <c r="Z118" i="6"/>
  <c r="Y118" i="6"/>
  <c r="X118" i="6"/>
  <c r="W118" i="6"/>
  <c r="V118" i="6"/>
  <c r="U118" i="6"/>
  <c r="R118" i="6"/>
  <c r="Q118" i="6"/>
  <c r="P118" i="6"/>
  <c r="O118" i="6"/>
  <c r="N118" i="6"/>
  <c r="M118" i="6"/>
  <c r="L118" i="6"/>
  <c r="I118" i="6"/>
  <c r="H118" i="6"/>
  <c r="G118" i="6"/>
  <c r="F118" i="6"/>
  <c r="E118" i="6"/>
  <c r="D118" i="6"/>
  <c r="C118" i="6"/>
  <c r="I100" i="6"/>
  <c r="H100" i="6"/>
  <c r="G100" i="6"/>
  <c r="F100" i="6"/>
  <c r="E100" i="6"/>
  <c r="D100" i="6"/>
  <c r="C100" i="6"/>
  <c r="R100" i="6"/>
  <c r="Q100" i="6"/>
  <c r="P100" i="6"/>
  <c r="O100" i="6"/>
  <c r="N100" i="6"/>
  <c r="M100" i="6"/>
  <c r="L100" i="6"/>
  <c r="AA100" i="6"/>
  <c r="Z100" i="6"/>
  <c r="Y100" i="6"/>
  <c r="X100" i="6"/>
  <c r="W100" i="6"/>
  <c r="V100" i="6"/>
  <c r="U100" i="6"/>
  <c r="AJ100" i="6"/>
  <c r="AI100" i="6"/>
  <c r="AH100" i="6"/>
  <c r="AG100" i="6"/>
  <c r="AF100" i="6"/>
  <c r="AE100" i="6"/>
  <c r="AD100" i="6"/>
  <c r="AS100" i="6"/>
  <c r="AR100" i="6"/>
  <c r="AQ100" i="6"/>
  <c r="AP100" i="6"/>
  <c r="AO100" i="6"/>
  <c r="AN100" i="6"/>
  <c r="AM100" i="6"/>
  <c r="AS82" i="6"/>
  <c r="AR82" i="6"/>
  <c r="AQ82" i="6"/>
  <c r="AP82" i="6"/>
  <c r="AO82" i="6"/>
  <c r="AN82" i="6"/>
  <c r="AM82" i="6"/>
  <c r="AJ82" i="6"/>
  <c r="AI82" i="6"/>
  <c r="AH82" i="6"/>
  <c r="AG82" i="6"/>
  <c r="AF82" i="6"/>
  <c r="AE82" i="6"/>
  <c r="AD82" i="6"/>
  <c r="AA82" i="6"/>
  <c r="Z82" i="6"/>
  <c r="Y82" i="6"/>
  <c r="X82" i="6"/>
  <c r="W82" i="6"/>
  <c r="V82" i="6"/>
  <c r="U82" i="6"/>
  <c r="R82" i="6"/>
  <c r="Q82" i="6"/>
  <c r="P82" i="6"/>
  <c r="O82" i="6"/>
  <c r="N82" i="6"/>
  <c r="M82" i="6"/>
  <c r="L82" i="6"/>
  <c r="I82" i="6"/>
  <c r="H82" i="6"/>
  <c r="G82" i="6"/>
  <c r="F82" i="6"/>
  <c r="E82" i="6"/>
  <c r="D82" i="6"/>
  <c r="C82" i="6"/>
  <c r="I64" i="6"/>
  <c r="H64" i="6"/>
  <c r="G64" i="6"/>
  <c r="F64" i="6"/>
  <c r="E64" i="6"/>
  <c r="D64" i="6"/>
  <c r="C64" i="6"/>
  <c r="R64" i="6"/>
  <c r="Q64" i="6"/>
  <c r="P64" i="6"/>
  <c r="O64" i="6"/>
  <c r="N64" i="6"/>
  <c r="M64" i="6"/>
  <c r="L64" i="6"/>
  <c r="AA64" i="6"/>
  <c r="Z64" i="6"/>
  <c r="Y64" i="6"/>
  <c r="X64" i="6"/>
  <c r="W64" i="6"/>
  <c r="V64" i="6"/>
  <c r="U64" i="6"/>
  <c r="AJ64" i="6"/>
  <c r="AI64" i="6"/>
  <c r="AH64" i="6"/>
  <c r="AG64" i="6"/>
  <c r="AF64" i="6"/>
  <c r="AE64" i="6"/>
  <c r="AD64" i="6"/>
  <c r="AS64" i="6"/>
  <c r="AR64" i="6"/>
  <c r="AQ64" i="6"/>
  <c r="AP64" i="6"/>
  <c r="AO64" i="6"/>
  <c r="AN64" i="6"/>
  <c r="AM64" i="6"/>
  <c r="AS46" i="6"/>
  <c r="AR46" i="6"/>
  <c r="AQ46" i="6"/>
  <c r="AP46" i="6"/>
  <c r="AO46" i="6"/>
  <c r="AN46" i="6"/>
  <c r="AM46" i="6"/>
  <c r="AJ46" i="6"/>
  <c r="AI46" i="6"/>
  <c r="AH46" i="6"/>
  <c r="AG46" i="6"/>
  <c r="AF46" i="6"/>
  <c r="AE46" i="6"/>
  <c r="AD46" i="6"/>
  <c r="AA46" i="6"/>
  <c r="Z46" i="6"/>
  <c r="Y46" i="6"/>
  <c r="X46" i="6"/>
  <c r="W46" i="6"/>
  <c r="V46" i="6"/>
  <c r="U46" i="6"/>
  <c r="R46" i="6"/>
  <c r="Q46" i="6"/>
  <c r="P46" i="6"/>
  <c r="O46" i="6"/>
  <c r="N46" i="6"/>
  <c r="M46" i="6"/>
  <c r="L46" i="6"/>
  <c r="I46" i="6"/>
  <c r="H46" i="6"/>
  <c r="G46" i="6"/>
  <c r="F46" i="6"/>
  <c r="E46" i="6"/>
  <c r="D46" i="6"/>
  <c r="C46" i="6"/>
  <c r="I28" i="6"/>
  <c r="H28" i="6"/>
  <c r="G28" i="6"/>
  <c r="F28" i="6"/>
  <c r="E28" i="6"/>
  <c r="D28" i="6"/>
  <c r="C28" i="6"/>
  <c r="R28" i="6"/>
  <c r="Q28" i="6"/>
  <c r="P28" i="6"/>
  <c r="O28" i="6"/>
  <c r="N28" i="6"/>
  <c r="M28" i="6"/>
  <c r="L28" i="6"/>
  <c r="AA28" i="6"/>
  <c r="Z28" i="6"/>
  <c r="Y28" i="6"/>
  <c r="X28" i="6"/>
  <c r="W28" i="6"/>
  <c r="V28" i="6"/>
  <c r="U28" i="6"/>
  <c r="AJ28" i="6"/>
  <c r="AI28" i="6"/>
  <c r="AH28" i="6"/>
  <c r="AG28" i="6"/>
  <c r="AF28" i="6"/>
  <c r="AE28" i="6"/>
  <c r="AD28" i="6"/>
  <c r="AS28" i="6"/>
  <c r="AR28" i="6"/>
  <c r="AQ28" i="6"/>
  <c r="AP28" i="6"/>
  <c r="AO28" i="6"/>
  <c r="AN28" i="6"/>
  <c r="AM28" i="6"/>
  <c r="AW10" i="6"/>
  <c r="AV10" i="6"/>
  <c r="AS10" i="6"/>
  <c r="AR10" i="6"/>
  <c r="AQ10" i="6"/>
  <c r="AP10" i="6"/>
  <c r="AO10" i="6"/>
  <c r="AN10" i="6"/>
  <c r="AM10" i="6"/>
  <c r="AJ10" i="6"/>
  <c r="AI10" i="6"/>
  <c r="AH10" i="6"/>
  <c r="AG10" i="6"/>
  <c r="AF10" i="6"/>
  <c r="AE10" i="6"/>
  <c r="AD10" i="6"/>
  <c r="AA10" i="6"/>
  <c r="Z10" i="6"/>
  <c r="Y10" i="6"/>
  <c r="X10" i="6"/>
  <c r="W10" i="6"/>
  <c r="V10" i="6"/>
  <c r="U10" i="6"/>
  <c r="R10" i="6"/>
  <c r="Q10" i="6"/>
  <c r="P10" i="6"/>
  <c r="O10" i="6"/>
  <c r="N10" i="6"/>
  <c r="M10" i="6"/>
  <c r="L10" i="6"/>
  <c r="AW205" i="6" l="1"/>
  <c r="AW208" i="6" s="1"/>
  <c r="AV205" i="6"/>
  <c r="AV208" i="6" s="1"/>
  <c r="AS205" i="6"/>
  <c r="AS208" i="6" s="1"/>
  <c r="AR205" i="6"/>
  <c r="AR208" i="6" s="1"/>
  <c r="AQ205" i="6"/>
  <c r="AQ208" i="6" s="1"/>
  <c r="AP205" i="6"/>
  <c r="AP208" i="6" s="1"/>
  <c r="AO205" i="6"/>
  <c r="AO208" i="6" s="1"/>
  <c r="AN205" i="6"/>
  <c r="AN208" i="6" s="1"/>
  <c r="AM205" i="6"/>
  <c r="AM208" i="6" s="1"/>
  <c r="AJ205" i="6"/>
  <c r="AI205" i="6"/>
  <c r="AH205" i="6"/>
  <c r="AG205" i="6"/>
  <c r="AF205" i="6"/>
  <c r="AE205" i="6"/>
  <c r="AD205" i="6"/>
  <c r="AA205" i="6"/>
  <c r="Z205" i="6"/>
  <c r="Y205" i="6"/>
  <c r="X205" i="6"/>
  <c r="W205" i="6"/>
  <c r="V205" i="6"/>
  <c r="U205" i="6"/>
  <c r="R205" i="6"/>
  <c r="Q205" i="6"/>
  <c r="P205" i="6"/>
  <c r="O205" i="6"/>
  <c r="N205" i="6"/>
  <c r="M205" i="6"/>
  <c r="L205" i="6"/>
  <c r="I205" i="6"/>
  <c r="H205" i="6"/>
  <c r="G205" i="6"/>
  <c r="F205" i="6"/>
  <c r="E205" i="6"/>
  <c r="D205" i="6"/>
  <c r="C205" i="6"/>
  <c r="AW187" i="6"/>
  <c r="AW190" i="6" s="1"/>
  <c r="AV187" i="6"/>
  <c r="AV190" i="6" s="1"/>
  <c r="AW169" i="6"/>
  <c r="AW172" i="6" s="1"/>
  <c r="AV169" i="6"/>
  <c r="AV172" i="6" s="1"/>
  <c r="AS187" i="6"/>
  <c r="AR187" i="6"/>
  <c r="AQ187" i="6"/>
  <c r="AP187" i="6"/>
  <c r="AO187" i="6"/>
  <c r="AN187" i="6"/>
  <c r="AM187" i="6"/>
  <c r="AS169" i="6"/>
  <c r="AR169" i="6"/>
  <c r="AQ169" i="6"/>
  <c r="AP169" i="6"/>
  <c r="AO169" i="6"/>
  <c r="AN169" i="6"/>
  <c r="AM169" i="6"/>
  <c r="AJ187" i="6"/>
  <c r="AI187" i="6"/>
  <c r="AH187" i="6"/>
  <c r="AG187" i="6"/>
  <c r="AF187" i="6"/>
  <c r="AE187" i="6"/>
  <c r="AD187" i="6"/>
  <c r="AA187" i="6"/>
  <c r="Z187" i="6"/>
  <c r="Y187" i="6"/>
  <c r="X187" i="6"/>
  <c r="W187" i="6"/>
  <c r="V187" i="6"/>
  <c r="U187" i="6"/>
  <c r="R187" i="6"/>
  <c r="Q187" i="6"/>
  <c r="P187" i="6"/>
  <c r="O187" i="6"/>
  <c r="N187" i="6"/>
  <c r="M187" i="6"/>
  <c r="L187" i="6"/>
  <c r="I187" i="6"/>
  <c r="H187" i="6"/>
  <c r="G187" i="6"/>
  <c r="F187" i="6"/>
  <c r="E187" i="6"/>
  <c r="D187" i="6"/>
  <c r="C187" i="6"/>
  <c r="AJ169" i="6"/>
  <c r="AI169" i="6"/>
  <c r="AH169" i="6"/>
  <c r="AG169" i="6"/>
  <c r="AF169" i="6"/>
  <c r="AE169" i="6"/>
  <c r="AD169" i="6"/>
  <c r="AA169" i="6"/>
  <c r="Z169" i="6"/>
  <c r="Y169" i="6"/>
  <c r="X169" i="6"/>
  <c r="W169" i="6"/>
  <c r="V169" i="6"/>
  <c r="U169" i="6"/>
  <c r="R169" i="6"/>
  <c r="Q169" i="6"/>
  <c r="P169" i="6"/>
  <c r="O169" i="6"/>
  <c r="N169" i="6"/>
  <c r="M169" i="6"/>
  <c r="L169" i="6"/>
  <c r="I169" i="6"/>
  <c r="H169" i="6"/>
  <c r="G169" i="6"/>
  <c r="F169" i="6"/>
  <c r="E169" i="6"/>
  <c r="D169" i="6"/>
  <c r="C169" i="6"/>
  <c r="AW151" i="6"/>
  <c r="AW154" i="6" s="1"/>
  <c r="AV151" i="6"/>
  <c r="AV154" i="6" s="1"/>
  <c r="AW133" i="6"/>
  <c r="AW136" i="6" s="1"/>
  <c r="AV133" i="6"/>
  <c r="AV136" i="6" s="1"/>
  <c r="AS151" i="6"/>
  <c r="AR151" i="6"/>
  <c r="AQ151" i="6"/>
  <c r="AP151" i="6"/>
  <c r="AO151" i="6"/>
  <c r="AN151" i="6"/>
  <c r="AM151" i="6"/>
  <c r="AS133" i="6"/>
  <c r="AR133" i="6"/>
  <c r="AQ133" i="6"/>
  <c r="AP133" i="6"/>
  <c r="AO133" i="6"/>
  <c r="AN133" i="6"/>
  <c r="AM133" i="6"/>
  <c r="AJ151" i="6"/>
  <c r="AI151" i="6"/>
  <c r="AH151" i="6"/>
  <c r="AG151" i="6"/>
  <c r="AF151" i="6"/>
  <c r="AE151" i="6"/>
  <c r="AD151" i="6"/>
  <c r="AA151" i="6"/>
  <c r="Z151" i="6"/>
  <c r="Y151" i="6"/>
  <c r="X151" i="6"/>
  <c r="W151" i="6"/>
  <c r="V151" i="6"/>
  <c r="U151" i="6"/>
  <c r="R151" i="6"/>
  <c r="Q151" i="6"/>
  <c r="P151" i="6"/>
  <c r="O151" i="6"/>
  <c r="N151" i="6"/>
  <c r="M151" i="6"/>
  <c r="L151" i="6"/>
  <c r="I151" i="6"/>
  <c r="H151" i="6"/>
  <c r="G151" i="6"/>
  <c r="F151" i="6"/>
  <c r="E151" i="6"/>
  <c r="D151" i="6"/>
  <c r="C151" i="6"/>
  <c r="AJ133" i="6"/>
  <c r="AI133" i="6"/>
  <c r="AH133" i="6"/>
  <c r="AG133" i="6"/>
  <c r="AF133" i="6"/>
  <c r="AE133" i="6"/>
  <c r="AD133" i="6"/>
  <c r="AA133" i="6"/>
  <c r="Z133" i="6"/>
  <c r="Y133" i="6"/>
  <c r="X133" i="6"/>
  <c r="W133" i="6"/>
  <c r="V133" i="6"/>
  <c r="U133" i="6"/>
  <c r="R133" i="6"/>
  <c r="Q133" i="6"/>
  <c r="P133" i="6"/>
  <c r="O133" i="6"/>
  <c r="N133" i="6"/>
  <c r="M133" i="6"/>
  <c r="L133" i="6"/>
  <c r="I133" i="6"/>
  <c r="H133" i="6"/>
  <c r="G133" i="6"/>
  <c r="F133" i="6"/>
  <c r="E133" i="6"/>
  <c r="D133" i="6"/>
  <c r="C133" i="6"/>
  <c r="AW115" i="6"/>
  <c r="AW118" i="6" s="1"/>
  <c r="AV115" i="6"/>
  <c r="AV118" i="6" s="1"/>
  <c r="AW97" i="6"/>
  <c r="AW100" i="6" s="1"/>
  <c r="AV97" i="6"/>
  <c r="AV100" i="6" s="1"/>
  <c r="AS115" i="6"/>
  <c r="AR115" i="6"/>
  <c r="AQ115" i="6"/>
  <c r="AP115" i="6"/>
  <c r="AO115" i="6"/>
  <c r="AN115" i="6"/>
  <c r="AM115" i="6"/>
  <c r="AS97" i="6"/>
  <c r="AR97" i="6"/>
  <c r="AQ97" i="6"/>
  <c r="AP97" i="6"/>
  <c r="AO97" i="6"/>
  <c r="AN97" i="6"/>
  <c r="AM97" i="6"/>
  <c r="AJ115" i="6"/>
  <c r="AI115" i="6"/>
  <c r="AH115" i="6"/>
  <c r="AG115" i="6"/>
  <c r="AF115" i="6"/>
  <c r="AE115" i="6"/>
  <c r="AD115" i="6"/>
  <c r="AA115" i="6"/>
  <c r="Z115" i="6"/>
  <c r="Y115" i="6"/>
  <c r="X115" i="6"/>
  <c r="W115" i="6"/>
  <c r="V115" i="6"/>
  <c r="U115" i="6"/>
  <c r="R115" i="6"/>
  <c r="Q115" i="6"/>
  <c r="P115" i="6"/>
  <c r="O115" i="6"/>
  <c r="N115" i="6"/>
  <c r="M115" i="6"/>
  <c r="L115" i="6"/>
  <c r="I115" i="6"/>
  <c r="H115" i="6"/>
  <c r="G115" i="6"/>
  <c r="F115" i="6"/>
  <c r="E115" i="6"/>
  <c r="D115" i="6"/>
  <c r="C115" i="6"/>
  <c r="AJ97" i="6"/>
  <c r="AI97" i="6"/>
  <c r="AH97" i="6"/>
  <c r="AG97" i="6"/>
  <c r="AF97" i="6"/>
  <c r="AE97" i="6"/>
  <c r="AD97" i="6"/>
  <c r="AA97" i="6"/>
  <c r="Z97" i="6"/>
  <c r="Y97" i="6"/>
  <c r="X97" i="6"/>
  <c r="W97" i="6"/>
  <c r="V97" i="6"/>
  <c r="U97" i="6"/>
  <c r="R97" i="6"/>
  <c r="Q97" i="6"/>
  <c r="P97" i="6"/>
  <c r="O97" i="6"/>
  <c r="N97" i="6"/>
  <c r="M97" i="6"/>
  <c r="L97" i="6"/>
  <c r="I97" i="6"/>
  <c r="H97" i="6"/>
  <c r="G97" i="6"/>
  <c r="F97" i="6"/>
  <c r="E97" i="6"/>
  <c r="D97" i="6"/>
  <c r="C97" i="6"/>
  <c r="AW79" i="6"/>
  <c r="AW82" i="6" s="1"/>
  <c r="AV79" i="6"/>
  <c r="AV82" i="6" s="1"/>
  <c r="AS79" i="6"/>
  <c r="AR79" i="6"/>
  <c r="AQ79" i="6"/>
  <c r="AP79" i="6"/>
  <c r="AO79" i="6"/>
  <c r="AN79" i="6"/>
  <c r="AM79" i="6"/>
  <c r="AJ79" i="6"/>
  <c r="AI79" i="6"/>
  <c r="AH79" i="6"/>
  <c r="AG79" i="6"/>
  <c r="AF79" i="6"/>
  <c r="AE79" i="6"/>
  <c r="AD79" i="6"/>
  <c r="AA79" i="6"/>
  <c r="Z79" i="6"/>
  <c r="Y79" i="6"/>
  <c r="X79" i="6"/>
  <c r="W79" i="6"/>
  <c r="V79" i="6"/>
  <c r="U79" i="6"/>
  <c r="R79" i="6"/>
  <c r="Q79" i="6"/>
  <c r="P79" i="6"/>
  <c r="O79" i="6"/>
  <c r="N79" i="6"/>
  <c r="M79" i="6"/>
  <c r="L79" i="6"/>
  <c r="I79" i="6"/>
  <c r="H79" i="6"/>
  <c r="G79" i="6"/>
  <c r="F79" i="6"/>
  <c r="E79" i="6"/>
  <c r="D79" i="6"/>
  <c r="C79" i="6"/>
  <c r="AW61" i="6"/>
  <c r="AW64" i="6" s="1"/>
  <c r="AV61" i="6"/>
  <c r="AV64" i="6" s="1"/>
  <c r="AS61" i="6"/>
  <c r="AR61" i="6"/>
  <c r="AQ61" i="6"/>
  <c r="AP61" i="6"/>
  <c r="AO61" i="6"/>
  <c r="AN61" i="6"/>
  <c r="AM61" i="6"/>
  <c r="AJ61" i="6"/>
  <c r="AI61" i="6"/>
  <c r="AH61" i="6"/>
  <c r="AG61" i="6"/>
  <c r="AF61" i="6"/>
  <c r="AE61" i="6"/>
  <c r="AD61" i="6"/>
  <c r="AA61" i="6"/>
  <c r="Z61" i="6"/>
  <c r="Y61" i="6"/>
  <c r="X61" i="6"/>
  <c r="W61" i="6"/>
  <c r="V61" i="6"/>
  <c r="U61" i="6"/>
  <c r="R61" i="6"/>
  <c r="Q61" i="6"/>
  <c r="P61" i="6"/>
  <c r="O61" i="6"/>
  <c r="N61" i="6"/>
  <c r="M61" i="6"/>
  <c r="L61" i="6"/>
  <c r="I61" i="6"/>
  <c r="H61" i="6"/>
  <c r="G61" i="6"/>
  <c r="F61" i="6"/>
  <c r="E61" i="6"/>
  <c r="D61" i="6"/>
  <c r="C61" i="6"/>
  <c r="AW43" i="6"/>
  <c r="AW46" i="6" s="1"/>
  <c r="AV43" i="6"/>
  <c r="AV46" i="6" s="1"/>
  <c r="AS43" i="6"/>
  <c r="AR43" i="6"/>
  <c r="AQ43" i="6"/>
  <c r="AP43" i="6"/>
  <c r="AO43" i="6"/>
  <c r="AN43" i="6"/>
  <c r="AM43" i="6"/>
  <c r="AJ43" i="6"/>
  <c r="AI43" i="6"/>
  <c r="AH43" i="6"/>
  <c r="AG43" i="6"/>
  <c r="AF43" i="6"/>
  <c r="AE43" i="6"/>
  <c r="AD43" i="6"/>
  <c r="AA43" i="6"/>
  <c r="Z43" i="6"/>
  <c r="Y43" i="6"/>
  <c r="X43" i="6"/>
  <c r="W43" i="6"/>
  <c r="V43" i="6"/>
  <c r="U43" i="6"/>
  <c r="R43" i="6"/>
  <c r="Q43" i="6"/>
  <c r="P43" i="6"/>
  <c r="O43" i="6"/>
  <c r="N43" i="6"/>
  <c r="M43" i="6"/>
  <c r="L43" i="6"/>
  <c r="I43" i="6"/>
  <c r="H43" i="6"/>
  <c r="G43" i="6"/>
  <c r="F43" i="6"/>
  <c r="E43" i="6"/>
  <c r="D43" i="6"/>
  <c r="C43" i="6"/>
  <c r="AS7" i="6" l="1"/>
  <c r="AR7" i="6"/>
  <c r="AQ7" i="6"/>
  <c r="AP7" i="6"/>
  <c r="AO7" i="6"/>
  <c r="AN7" i="6"/>
  <c r="AM7" i="6"/>
  <c r="AJ7" i="6"/>
  <c r="AI7" i="6"/>
  <c r="AH7" i="6"/>
  <c r="AG7" i="6"/>
  <c r="AF7" i="6"/>
  <c r="AE7" i="6"/>
  <c r="AD7" i="6"/>
  <c r="AA7" i="6"/>
  <c r="Z7" i="6"/>
  <c r="Y7" i="6"/>
  <c r="X7" i="6"/>
  <c r="W7" i="6"/>
  <c r="V7" i="6"/>
  <c r="U7" i="6"/>
  <c r="R7" i="6"/>
  <c r="Q7" i="6"/>
  <c r="P7" i="6"/>
  <c r="O7" i="6"/>
  <c r="N7" i="6"/>
  <c r="M7" i="6"/>
  <c r="L7" i="6"/>
  <c r="I7" i="6"/>
  <c r="I10" i="6" s="1"/>
  <c r="H10" i="6"/>
  <c r="G10" i="6"/>
  <c r="F10" i="6"/>
  <c r="E7" i="6"/>
  <c r="E10" i="6" s="1"/>
  <c r="D7" i="6"/>
  <c r="D10" i="6" s="1"/>
  <c r="C7" i="6"/>
  <c r="I25" i="6"/>
  <c r="H25" i="6"/>
  <c r="G25" i="6"/>
  <c r="F25" i="6"/>
  <c r="E25" i="6"/>
  <c r="D25" i="6"/>
  <c r="C25" i="6"/>
  <c r="R25" i="6"/>
  <c r="Q25" i="6"/>
  <c r="P25" i="6"/>
  <c r="O25" i="6"/>
  <c r="N25" i="6"/>
  <c r="M25" i="6"/>
  <c r="L25" i="6"/>
  <c r="AA25" i="6"/>
  <c r="Z25" i="6"/>
  <c r="Y25" i="6"/>
  <c r="X25" i="6"/>
  <c r="W25" i="6"/>
  <c r="V25" i="6"/>
  <c r="U25" i="6"/>
  <c r="AJ25" i="6"/>
  <c r="AI25" i="6"/>
  <c r="AH25" i="6"/>
  <c r="AG25" i="6"/>
  <c r="AF25" i="6"/>
  <c r="AE25" i="6"/>
  <c r="AD25" i="6"/>
  <c r="AS25" i="6"/>
  <c r="AR25" i="6"/>
  <c r="AQ25" i="6"/>
  <c r="AP25" i="6"/>
  <c r="AO25" i="6"/>
  <c r="AN25" i="6"/>
  <c r="AM25" i="6"/>
  <c r="AW25" i="6"/>
  <c r="AW28" i="6" s="1"/>
  <c r="AV25" i="6"/>
  <c r="AV28" i="6" s="1"/>
  <c r="C10" i="6" l="1"/>
  <c r="C8" i="6"/>
  <c r="AW7" i="6"/>
  <c r="AV7" i="6"/>
  <c r="AW212" i="6" l="1"/>
  <c r="AV212" i="6"/>
  <c r="AS212" i="6"/>
  <c r="AR212" i="6"/>
  <c r="AQ212" i="6"/>
  <c r="AP212" i="6"/>
  <c r="AO212" i="6"/>
  <c r="AN212" i="6"/>
  <c r="AM212" i="6"/>
  <c r="AJ212" i="6"/>
  <c r="AI212" i="6"/>
  <c r="AH212" i="6"/>
  <c r="AG212" i="6"/>
  <c r="AF212" i="6"/>
  <c r="AE212" i="6"/>
  <c r="AD212" i="6"/>
  <c r="AA212" i="6"/>
  <c r="Z212" i="6"/>
  <c r="Y212" i="6"/>
  <c r="X212" i="6"/>
  <c r="W212" i="6"/>
  <c r="V212" i="6"/>
  <c r="U212" i="6"/>
  <c r="R212" i="6"/>
  <c r="Q212" i="6"/>
  <c r="P212" i="6"/>
  <c r="O212" i="6"/>
  <c r="N212" i="6"/>
  <c r="M212" i="6"/>
  <c r="L212" i="6"/>
  <c r="I212" i="6"/>
  <c r="H212" i="6"/>
  <c r="G212" i="6"/>
  <c r="F212" i="6"/>
  <c r="E212" i="6"/>
  <c r="D212" i="6"/>
  <c r="C212" i="6"/>
  <c r="AW194" i="6"/>
  <c r="AV194" i="6"/>
  <c r="AS194" i="6"/>
  <c r="AR194" i="6"/>
  <c r="AQ194" i="6"/>
  <c r="AP194" i="6"/>
  <c r="AO194" i="6"/>
  <c r="AN194" i="6"/>
  <c r="AM194" i="6"/>
  <c r="AJ194" i="6"/>
  <c r="AI194" i="6"/>
  <c r="AH194" i="6"/>
  <c r="AG194" i="6"/>
  <c r="AF194" i="6"/>
  <c r="AE194" i="6"/>
  <c r="AD194" i="6"/>
  <c r="AA194" i="6"/>
  <c r="Z194" i="6"/>
  <c r="Y194" i="6"/>
  <c r="X194" i="6"/>
  <c r="W194" i="6"/>
  <c r="V194" i="6"/>
  <c r="U194" i="6"/>
  <c r="R194" i="6"/>
  <c r="Q194" i="6"/>
  <c r="P194" i="6"/>
  <c r="O194" i="6"/>
  <c r="N194" i="6"/>
  <c r="M194" i="6"/>
  <c r="L194" i="6"/>
  <c r="I194" i="6"/>
  <c r="H194" i="6"/>
  <c r="G194" i="6"/>
  <c r="F194" i="6"/>
  <c r="E194" i="6"/>
  <c r="D194" i="6"/>
  <c r="C194" i="6"/>
  <c r="AW176" i="6"/>
  <c r="AV176" i="6"/>
  <c r="AS176" i="6"/>
  <c r="AR176" i="6"/>
  <c r="AQ176" i="6"/>
  <c r="AP176" i="6"/>
  <c r="AO176" i="6"/>
  <c r="AN176" i="6"/>
  <c r="AM176" i="6"/>
  <c r="AJ176" i="6"/>
  <c r="AI176" i="6"/>
  <c r="AH176" i="6"/>
  <c r="AG176" i="6"/>
  <c r="AF176" i="6"/>
  <c r="AE176" i="6"/>
  <c r="AD176" i="6"/>
  <c r="AA176" i="6"/>
  <c r="Z176" i="6"/>
  <c r="Y176" i="6"/>
  <c r="X176" i="6"/>
  <c r="W176" i="6"/>
  <c r="V176" i="6"/>
  <c r="U176" i="6"/>
  <c r="R176" i="6"/>
  <c r="Q176" i="6"/>
  <c r="P176" i="6"/>
  <c r="O176" i="6"/>
  <c r="N176" i="6"/>
  <c r="M176" i="6"/>
  <c r="L176" i="6"/>
  <c r="S176" i="6" s="1"/>
  <c r="I176" i="6"/>
  <c r="H176" i="6"/>
  <c r="G176" i="6"/>
  <c r="F176" i="6"/>
  <c r="E176" i="6"/>
  <c r="D176" i="6"/>
  <c r="C176" i="6"/>
  <c r="AW158" i="6"/>
  <c r="AV158" i="6"/>
  <c r="AS158" i="6"/>
  <c r="AR158" i="6"/>
  <c r="AQ158" i="6"/>
  <c r="AP158" i="6"/>
  <c r="AO158" i="6"/>
  <c r="AN158" i="6"/>
  <c r="AM158" i="6"/>
  <c r="AJ158" i="6"/>
  <c r="AI158" i="6"/>
  <c r="AH158" i="6"/>
  <c r="AG158" i="6"/>
  <c r="AF158" i="6"/>
  <c r="AE158" i="6"/>
  <c r="AD158" i="6"/>
  <c r="AA158" i="6"/>
  <c r="Z158" i="6"/>
  <c r="Y158" i="6"/>
  <c r="X158" i="6"/>
  <c r="W158" i="6"/>
  <c r="V158" i="6"/>
  <c r="U158" i="6"/>
  <c r="R158" i="6"/>
  <c r="Q158" i="6"/>
  <c r="P158" i="6"/>
  <c r="O158" i="6"/>
  <c r="N158" i="6"/>
  <c r="M158" i="6"/>
  <c r="L158" i="6"/>
  <c r="I158" i="6"/>
  <c r="H158" i="6"/>
  <c r="G158" i="6"/>
  <c r="F158" i="6"/>
  <c r="E158" i="6"/>
  <c r="D158" i="6"/>
  <c r="C158" i="6"/>
  <c r="AW140" i="6"/>
  <c r="AV140" i="6"/>
  <c r="AS140" i="6"/>
  <c r="AR140" i="6"/>
  <c r="AQ140" i="6"/>
  <c r="AP140" i="6"/>
  <c r="AO140" i="6"/>
  <c r="AN140" i="6"/>
  <c r="AM140" i="6"/>
  <c r="AJ140" i="6"/>
  <c r="AI140" i="6"/>
  <c r="AH140" i="6"/>
  <c r="AG140" i="6"/>
  <c r="AF140" i="6"/>
  <c r="AE140" i="6"/>
  <c r="AD140" i="6"/>
  <c r="AA140" i="6"/>
  <c r="Z140" i="6"/>
  <c r="Y140" i="6"/>
  <c r="X140" i="6"/>
  <c r="W140" i="6"/>
  <c r="V140" i="6"/>
  <c r="U140" i="6"/>
  <c r="R140" i="6"/>
  <c r="Q140" i="6"/>
  <c r="P140" i="6"/>
  <c r="O140" i="6"/>
  <c r="N140" i="6"/>
  <c r="M140" i="6"/>
  <c r="L140" i="6"/>
  <c r="I140" i="6"/>
  <c r="H140" i="6"/>
  <c r="G140" i="6"/>
  <c r="F140" i="6"/>
  <c r="E140" i="6"/>
  <c r="D140" i="6"/>
  <c r="C140" i="6"/>
  <c r="AW122" i="6"/>
  <c r="AV122" i="6"/>
  <c r="AS122" i="6"/>
  <c r="AR122" i="6"/>
  <c r="AQ122" i="6"/>
  <c r="AP122" i="6"/>
  <c r="AO122" i="6"/>
  <c r="AN122" i="6"/>
  <c r="AM122" i="6"/>
  <c r="AJ122" i="6"/>
  <c r="AI122" i="6"/>
  <c r="AH122" i="6"/>
  <c r="AG122" i="6"/>
  <c r="AF122" i="6"/>
  <c r="AE122" i="6"/>
  <c r="AD122" i="6"/>
  <c r="AA122" i="6"/>
  <c r="Z122" i="6"/>
  <c r="Y122" i="6"/>
  <c r="X122" i="6"/>
  <c r="W122" i="6"/>
  <c r="V122" i="6"/>
  <c r="U122" i="6"/>
  <c r="R122" i="6"/>
  <c r="Q122" i="6"/>
  <c r="P122" i="6"/>
  <c r="O122" i="6"/>
  <c r="N122" i="6"/>
  <c r="M122" i="6"/>
  <c r="L122" i="6"/>
  <c r="I122" i="6"/>
  <c r="H122" i="6"/>
  <c r="G122" i="6"/>
  <c r="F122" i="6"/>
  <c r="E122" i="6"/>
  <c r="D122" i="6"/>
  <c r="C122" i="6"/>
  <c r="AW104" i="6"/>
  <c r="AV104" i="6"/>
  <c r="AS104" i="6"/>
  <c r="AR104" i="6"/>
  <c r="AQ104" i="6"/>
  <c r="AP104" i="6"/>
  <c r="AO104" i="6"/>
  <c r="AN104" i="6"/>
  <c r="AM104" i="6"/>
  <c r="AJ104" i="6"/>
  <c r="AI104" i="6"/>
  <c r="AH104" i="6"/>
  <c r="AG104" i="6"/>
  <c r="AF104" i="6"/>
  <c r="AE104" i="6"/>
  <c r="AD104" i="6"/>
  <c r="AA104" i="6"/>
  <c r="Z104" i="6"/>
  <c r="Y104" i="6"/>
  <c r="X104" i="6"/>
  <c r="W104" i="6"/>
  <c r="V104" i="6"/>
  <c r="U104" i="6"/>
  <c r="R104" i="6"/>
  <c r="Q104" i="6"/>
  <c r="P104" i="6"/>
  <c r="O104" i="6"/>
  <c r="N104" i="6"/>
  <c r="M104" i="6"/>
  <c r="L104" i="6"/>
  <c r="I104" i="6"/>
  <c r="H104" i="6"/>
  <c r="G104" i="6"/>
  <c r="F104" i="6"/>
  <c r="E104" i="6"/>
  <c r="D104" i="6"/>
  <c r="C104" i="6"/>
  <c r="AW86" i="6"/>
  <c r="AV86" i="6"/>
  <c r="AS86" i="6"/>
  <c r="AR86" i="6"/>
  <c r="AQ86" i="6"/>
  <c r="AP86" i="6"/>
  <c r="AO86" i="6"/>
  <c r="AN86" i="6"/>
  <c r="AM86" i="6"/>
  <c r="AJ86" i="6"/>
  <c r="AI86" i="6"/>
  <c r="AH86" i="6"/>
  <c r="AG86" i="6"/>
  <c r="AF86" i="6"/>
  <c r="AE86" i="6"/>
  <c r="AD86" i="6"/>
  <c r="AA86" i="6"/>
  <c r="Z86" i="6"/>
  <c r="Y86" i="6"/>
  <c r="X86" i="6"/>
  <c r="W86" i="6"/>
  <c r="V86" i="6"/>
  <c r="U86" i="6"/>
  <c r="R86" i="6"/>
  <c r="Q86" i="6"/>
  <c r="P86" i="6"/>
  <c r="O86" i="6"/>
  <c r="N86" i="6"/>
  <c r="M86" i="6"/>
  <c r="L86" i="6"/>
  <c r="I86" i="6"/>
  <c r="H86" i="6"/>
  <c r="G86" i="6"/>
  <c r="F86" i="6"/>
  <c r="E86" i="6"/>
  <c r="D86" i="6"/>
  <c r="C86" i="6"/>
  <c r="AW68" i="6"/>
  <c r="AV68" i="6"/>
  <c r="AS68" i="6"/>
  <c r="AR68" i="6"/>
  <c r="AQ68" i="6"/>
  <c r="AP68" i="6"/>
  <c r="AO68" i="6"/>
  <c r="AN68" i="6"/>
  <c r="AM68" i="6"/>
  <c r="AJ68" i="6"/>
  <c r="AI68" i="6"/>
  <c r="AH68" i="6"/>
  <c r="AG68" i="6"/>
  <c r="AF68" i="6"/>
  <c r="AE68" i="6"/>
  <c r="AD68" i="6"/>
  <c r="AA68" i="6"/>
  <c r="Z68" i="6"/>
  <c r="Y68" i="6"/>
  <c r="X68" i="6"/>
  <c r="W68" i="6"/>
  <c r="V68" i="6"/>
  <c r="U68" i="6"/>
  <c r="R68" i="6"/>
  <c r="Q68" i="6"/>
  <c r="P68" i="6"/>
  <c r="O68" i="6"/>
  <c r="N68" i="6"/>
  <c r="M68" i="6"/>
  <c r="L68" i="6"/>
  <c r="I68" i="6"/>
  <c r="H68" i="6"/>
  <c r="G68" i="6"/>
  <c r="F68" i="6"/>
  <c r="E68" i="6"/>
  <c r="D68" i="6"/>
  <c r="C68" i="6"/>
  <c r="AW50" i="6"/>
  <c r="AV50" i="6"/>
  <c r="AS50" i="6"/>
  <c r="AR50" i="6"/>
  <c r="AQ50" i="6"/>
  <c r="AP50" i="6"/>
  <c r="AO50" i="6"/>
  <c r="AT50" i="6" s="1"/>
  <c r="AN50" i="6"/>
  <c r="AM50" i="6"/>
  <c r="AJ50" i="6"/>
  <c r="AI50" i="6"/>
  <c r="AH50" i="6"/>
  <c r="AG50" i="6"/>
  <c r="AF50" i="6"/>
  <c r="AE50" i="6"/>
  <c r="AD50" i="6"/>
  <c r="AA50" i="6"/>
  <c r="Z50" i="6"/>
  <c r="Y50" i="6"/>
  <c r="X50" i="6"/>
  <c r="W50" i="6"/>
  <c r="V50" i="6"/>
  <c r="U50" i="6"/>
  <c r="R50" i="6"/>
  <c r="Q50" i="6"/>
  <c r="P50" i="6"/>
  <c r="O50" i="6"/>
  <c r="N50" i="6"/>
  <c r="M50" i="6"/>
  <c r="L50" i="6"/>
  <c r="I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J32" i="6"/>
  <c r="AI32" i="6"/>
  <c r="AH32" i="6"/>
  <c r="AG32" i="6"/>
  <c r="AF32" i="6"/>
  <c r="AE32" i="6"/>
  <c r="AD32" i="6"/>
  <c r="AA32" i="6"/>
  <c r="Z32" i="6"/>
  <c r="Y32" i="6"/>
  <c r="X32" i="6"/>
  <c r="W32" i="6"/>
  <c r="V32" i="6"/>
  <c r="U32" i="6"/>
  <c r="R32" i="6"/>
  <c r="P32" i="6"/>
  <c r="O32" i="6"/>
  <c r="N32" i="6"/>
  <c r="M32" i="6"/>
  <c r="L32" i="6"/>
  <c r="I32" i="6"/>
  <c r="H32" i="6"/>
  <c r="G32" i="6"/>
  <c r="F32" i="6"/>
  <c r="E32" i="6"/>
  <c r="D32" i="6"/>
  <c r="C32" i="6"/>
  <c r="AV14" i="6"/>
  <c r="AW14" i="6"/>
  <c r="AS14" i="6"/>
  <c r="AR14" i="6"/>
  <c r="AQ14" i="6"/>
  <c r="AP14" i="6"/>
  <c r="AO14" i="6"/>
  <c r="AN14" i="6"/>
  <c r="AM14" i="6"/>
  <c r="AJ14" i="6"/>
  <c r="AI14" i="6"/>
  <c r="AH14" i="6"/>
  <c r="AG14" i="6"/>
  <c r="AF14" i="6"/>
  <c r="AE14" i="6"/>
  <c r="AD14" i="6"/>
  <c r="AA14" i="6"/>
  <c r="Z14" i="6"/>
  <c r="Y14" i="6"/>
  <c r="X14" i="6"/>
  <c r="W14" i="6"/>
  <c r="V14" i="6"/>
  <c r="U14" i="6"/>
  <c r="R14" i="6"/>
  <c r="Q14" i="6"/>
  <c r="P14" i="6"/>
  <c r="O14" i="6"/>
  <c r="N14" i="6"/>
  <c r="M14" i="6"/>
  <c r="L14" i="6"/>
  <c r="AK212" i="6" l="1"/>
  <c r="AT158" i="6"/>
  <c r="AB122" i="6"/>
  <c r="J86" i="6"/>
  <c r="AK68" i="6"/>
  <c r="AX32" i="6"/>
  <c r="AB50" i="6"/>
  <c r="AT32" i="6"/>
  <c r="AT104" i="6"/>
  <c r="AT194" i="6"/>
  <c r="AT140" i="6"/>
  <c r="AT86" i="6"/>
  <c r="AT176" i="6"/>
  <c r="AT122" i="6"/>
  <c r="AT68" i="6"/>
  <c r="AT212" i="6"/>
  <c r="AK158" i="6"/>
  <c r="AB212" i="6"/>
  <c r="AK32" i="6"/>
  <c r="AK50" i="6"/>
  <c r="AK104" i="6"/>
  <c r="AK194" i="6"/>
  <c r="AK140" i="6"/>
  <c r="AK86" i="6"/>
  <c r="AK176" i="6"/>
  <c r="AK122" i="6"/>
  <c r="AB68" i="6"/>
  <c r="AB32" i="6"/>
  <c r="AB158" i="6"/>
  <c r="AB104" i="6"/>
  <c r="S50" i="6"/>
  <c r="AB194" i="6"/>
  <c r="AB140" i="6"/>
  <c r="AB86" i="6"/>
  <c r="S86" i="6"/>
  <c r="AB176" i="6"/>
  <c r="S122" i="6"/>
  <c r="S158" i="6"/>
  <c r="S212" i="6"/>
  <c r="J50" i="6"/>
  <c r="S104" i="6"/>
  <c r="S194" i="6"/>
  <c r="S68" i="6"/>
  <c r="S140" i="6"/>
  <c r="J176" i="6"/>
  <c r="J122" i="6"/>
  <c r="J32" i="6"/>
  <c r="J68" i="6"/>
  <c r="J212" i="6"/>
  <c r="J158" i="6"/>
  <c r="J104" i="6"/>
  <c r="J194" i="6"/>
  <c r="J140" i="6"/>
  <c r="S32" i="6"/>
  <c r="AX208" i="6" l="1"/>
  <c r="AX216" i="6"/>
  <c r="AX215" i="6"/>
  <c r="AX214" i="6"/>
  <c r="AX213" i="6"/>
  <c r="AX212" i="6"/>
  <c r="AX198" i="6"/>
  <c r="AX197" i="6"/>
  <c r="AX196" i="6"/>
  <c r="AX195" i="6"/>
  <c r="AX194" i="6"/>
  <c r="AX190" i="6"/>
  <c r="AX180" i="6"/>
  <c r="AX179" i="6"/>
  <c r="AX178" i="6"/>
  <c r="AX177" i="6"/>
  <c r="AX176" i="6"/>
  <c r="AX172" i="6"/>
  <c r="AX162" i="6"/>
  <c r="AX161" i="6"/>
  <c r="AX160" i="6"/>
  <c r="AX159" i="6"/>
  <c r="AX158" i="6"/>
  <c r="AX154" i="6"/>
  <c r="AX144" i="6"/>
  <c r="AX143" i="6"/>
  <c r="AX142" i="6"/>
  <c r="AX141" i="6"/>
  <c r="AX140" i="6"/>
  <c r="AX136" i="6"/>
  <c r="AX126" i="6"/>
  <c r="AX125" i="6"/>
  <c r="AX124" i="6"/>
  <c r="AX123" i="6"/>
  <c r="AX122" i="6"/>
  <c r="AX118" i="6"/>
  <c r="AX108" i="6"/>
  <c r="AX107" i="6"/>
  <c r="AX106" i="6"/>
  <c r="AX105" i="6"/>
  <c r="AX104" i="6"/>
  <c r="AX100" i="6"/>
  <c r="AX90" i="6"/>
  <c r="AX89" i="6"/>
  <c r="AX88" i="6"/>
  <c r="AX87" i="6"/>
  <c r="AX86" i="6"/>
  <c r="AX82" i="6"/>
  <c r="AX72" i="6"/>
  <c r="AX71" i="6"/>
  <c r="AX70" i="6"/>
  <c r="AX69" i="6"/>
  <c r="AX68" i="6"/>
  <c r="AX64" i="6"/>
  <c r="AX54" i="6"/>
  <c r="AX53" i="6"/>
  <c r="AX52" i="6"/>
  <c r="AX51" i="6"/>
  <c r="AX50" i="6"/>
  <c r="AX46" i="6"/>
  <c r="AX36" i="6"/>
  <c r="AX35" i="6"/>
  <c r="AX34" i="6"/>
  <c r="AX33" i="6"/>
  <c r="AX28" i="6"/>
  <c r="AX16" i="6"/>
  <c r="AX17" i="6"/>
  <c r="AX18" i="6"/>
  <c r="AX15" i="6"/>
  <c r="AX14" i="6"/>
  <c r="AX10" i="6"/>
  <c r="G5" i="10" l="1"/>
  <c r="AR4" i="6" l="1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AW217" i="6" l="1"/>
  <c r="AV217" i="6"/>
  <c r="AS217" i="6"/>
  <c r="AR217" i="6"/>
  <c r="AQ217" i="6"/>
  <c r="AP217" i="6"/>
  <c r="AO217" i="6"/>
  <c r="AN217" i="6"/>
  <c r="AM217" i="6"/>
  <c r="AJ217" i="6"/>
  <c r="AI217" i="6"/>
  <c r="AH217" i="6"/>
  <c r="AG217" i="6"/>
  <c r="AF217" i="6"/>
  <c r="AE217" i="6"/>
  <c r="AD217" i="6"/>
  <c r="AA217" i="6"/>
  <c r="Z217" i="6"/>
  <c r="Y217" i="6"/>
  <c r="X217" i="6"/>
  <c r="W217" i="6"/>
  <c r="V217" i="6"/>
  <c r="U217" i="6"/>
  <c r="R217" i="6"/>
  <c r="Q217" i="6"/>
  <c r="P217" i="6"/>
  <c r="O217" i="6"/>
  <c r="N217" i="6"/>
  <c r="M217" i="6"/>
  <c r="L217" i="6"/>
  <c r="I217" i="6"/>
  <c r="H217" i="6"/>
  <c r="G217" i="6"/>
  <c r="F217" i="6"/>
  <c r="E217" i="6"/>
  <c r="D217" i="6"/>
  <c r="C217" i="6"/>
  <c r="AW199" i="6"/>
  <c r="AV199" i="6"/>
  <c r="AS199" i="6"/>
  <c r="AR199" i="6"/>
  <c r="AQ199" i="6"/>
  <c r="AP199" i="6"/>
  <c r="AO199" i="6"/>
  <c r="AN199" i="6"/>
  <c r="AM199" i="6"/>
  <c r="AJ199" i="6"/>
  <c r="AI199" i="6"/>
  <c r="AH199" i="6"/>
  <c r="AG199" i="6"/>
  <c r="AF199" i="6"/>
  <c r="AE199" i="6"/>
  <c r="AD199" i="6"/>
  <c r="AA199" i="6"/>
  <c r="Z199" i="6"/>
  <c r="Y199" i="6"/>
  <c r="X199" i="6"/>
  <c r="W199" i="6"/>
  <c r="V199" i="6"/>
  <c r="U199" i="6"/>
  <c r="R199" i="6"/>
  <c r="Q199" i="6"/>
  <c r="P199" i="6"/>
  <c r="O199" i="6"/>
  <c r="N199" i="6"/>
  <c r="M199" i="6"/>
  <c r="L199" i="6"/>
  <c r="I199" i="6"/>
  <c r="H199" i="6"/>
  <c r="G199" i="6"/>
  <c r="F199" i="6"/>
  <c r="E199" i="6"/>
  <c r="D199" i="6"/>
  <c r="C199" i="6"/>
  <c r="AW181" i="6"/>
  <c r="AV181" i="6"/>
  <c r="AS181" i="6"/>
  <c r="AR181" i="6"/>
  <c r="AQ181" i="6"/>
  <c r="AP181" i="6"/>
  <c r="AO181" i="6"/>
  <c r="AN181" i="6"/>
  <c r="AM181" i="6"/>
  <c r="AJ181" i="6"/>
  <c r="AI181" i="6"/>
  <c r="AH181" i="6"/>
  <c r="AG181" i="6"/>
  <c r="AF181" i="6"/>
  <c r="AE181" i="6"/>
  <c r="AD181" i="6"/>
  <c r="AA181" i="6"/>
  <c r="Z181" i="6"/>
  <c r="Y181" i="6"/>
  <c r="X181" i="6"/>
  <c r="W181" i="6"/>
  <c r="V181" i="6"/>
  <c r="U181" i="6"/>
  <c r="R181" i="6"/>
  <c r="Q181" i="6"/>
  <c r="P181" i="6"/>
  <c r="O181" i="6"/>
  <c r="N181" i="6"/>
  <c r="M181" i="6"/>
  <c r="L181" i="6"/>
  <c r="I181" i="6"/>
  <c r="H181" i="6"/>
  <c r="G181" i="6"/>
  <c r="F181" i="6"/>
  <c r="E181" i="6"/>
  <c r="D181" i="6"/>
  <c r="C181" i="6"/>
  <c r="AW163" i="6"/>
  <c r="AV163" i="6"/>
  <c r="AS163" i="6"/>
  <c r="AR163" i="6"/>
  <c r="AQ163" i="6"/>
  <c r="AP163" i="6"/>
  <c r="AO163" i="6"/>
  <c r="AN163" i="6"/>
  <c r="AM163" i="6"/>
  <c r="AJ163" i="6"/>
  <c r="AI163" i="6"/>
  <c r="AH163" i="6"/>
  <c r="AG163" i="6"/>
  <c r="AF163" i="6"/>
  <c r="AE163" i="6"/>
  <c r="AD163" i="6"/>
  <c r="AA163" i="6"/>
  <c r="Z163" i="6"/>
  <c r="Y163" i="6"/>
  <c r="X163" i="6"/>
  <c r="W163" i="6"/>
  <c r="V163" i="6"/>
  <c r="U163" i="6"/>
  <c r="R163" i="6"/>
  <c r="Q163" i="6"/>
  <c r="P163" i="6"/>
  <c r="O163" i="6"/>
  <c r="N163" i="6"/>
  <c r="M163" i="6"/>
  <c r="L163" i="6"/>
  <c r="I163" i="6"/>
  <c r="H163" i="6"/>
  <c r="G163" i="6"/>
  <c r="F163" i="6"/>
  <c r="E163" i="6"/>
  <c r="D163" i="6"/>
  <c r="C163" i="6"/>
  <c r="AW145" i="6"/>
  <c r="AV145" i="6"/>
  <c r="AS145" i="6"/>
  <c r="AR145" i="6"/>
  <c r="AQ145" i="6"/>
  <c r="AP145" i="6"/>
  <c r="AO145" i="6"/>
  <c r="AN145" i="6"/>
  <c r="AM145" i="6"/>
  <c r="AJ145" i="6"/>
  <c r="AI145" i="6"/>
  <c r="AH145" i="6"/>
  <c r="AG145" i="6"/>
  <c r="AF145" i="6"/>
  <c r="AE145" i="6"/>
  <c r="AD145" i="6"/>
  <c r="AA145" i="6"/>
  <c r="Z145" i="6"/>
  <c r="Y145" i="6"/>
  <c r="X145" i="6"/>
  <c r="W145" i="6"/>
  <c r="V145" i="6"/>
  <c r="U145" i="6"/>
  <c r="R145" i="6"/>
  <c r="Q145" i="6"/>
  <c r="P145" i="6"/>
  <c r="O145" i="6"/>
  <c r="N145" i="6"/>
  <c r="M145" i="6"/>
  <c r="L145" i="6"/>
  <c r="I145" i="6"/>
  <c r="H145" i="6"/>
  <c r="G145" i="6"/>
  <c r="F145" i="6"/>
  <c r="E145" i="6"/>
  <c r="D145" i="6"/>
  <c r="C145" i="6"/>
  <c r="AW127" i="6"/>
  <c r="AV127" i="6"/>
  <c r="AS127" i="6"/>
  <c r="AR127" i="6"/>
  <c r="AQ127" i="6"/>
  <c r="AP127" i="6"/>
  <c r="AO127" i="6"/>
  <c r="AN127" i="6"/>
  <c r="AM127" i="6"/>
  <c r="AJ127" i="6"/>
  <c r="AI127" i="6"/>
  <c r="AH127" i="6"/>
  <c r="AG127" i="6"/>
  <c r="AF127" i="6"/>
  <c r="AE127" i="6"/>
  <c r="AD127" i="6"/>
  <c r="AA127" i="6"/>
  <c r="Z127" i="6"/>
  <c r="Y127" i="6"/>
  <c r="X127" i="6"/>
  <c r="W127" i="6"/>
  <c r="V127" i="6"/>
  <c r="U127" i="6"/>
  <c r="R127" i="6"/>
  <c r="Q127" i="6"/>
  <c r="P127" i="6"/>
  <c r="O127" i="6"/>
  <c r="N127" i="6"/>
  <c r="M127" i="6"/>
  <c r="L127" i="6"/>
  <c r="I127" i="6"/>
  <c r="H127" i="6"/>
  <c r="G127" i="6"/>
  <c r="F127" i="6"/>
  <c r="E127" i="6"/>
  <c r="D127" i="6"/>
  <c r="C127" i="6"/>
  <c r="AW109" i="6"/>
  <c r="AV109" i="6"/>
  <c r="AS109" i="6"/>
  <c r="AR109" i="6"/>
  <c r="AQ109" i="6"/>
  <c r="AP109" i="6"/>
  <c r="AO109" i="6"/>
  <c r="AN109" i="6"/>
  <c r="AM109" i="6"/>
  <c r="AJ109" i="6"/>
  <c r="AI109" i="6"/>
  <c r="AH109" i="6"/>
  <c r="AG109" i="6"/>
  <c r="AF109" i="6"/>
  <c r="AE109" i="6"/>
  <c r="AD109" i="6"/>
  <c r="AA109" i="6"/>
  <c r="Z109" i="6"/>
  <c r="Y109" i="6"/>
  <c r="X109" i="6"/>
  <c r="W109" i="6"/>
  <c r="V109" i="6"/>
  <c r="U109" i="6"/>
  <c r="R109" i="6"/>
  <c r="Q109" i="6"/>
  <c r="P109" i="6"/>
  <c r="O109" i="6"/>
  <c r="N109" i="6"/>
  <c r="M109" i="6"/>
  <c r="L109" i="6"/>
  <c r="I109" i="6"/>
  <c r="H109" i="6"/>
  <c r="G109" i="6"/>
  <c r="F109" i="6"/>
  <c r="E109" i="6"/>
  <c r="D109" i="6"/>
  <c r="C109" i="6"/>
  <c r="AW91" i="6"/>
  <c r="AV91" i="6"/>
  <c r="AS91" i="6"/>
  <c r="AR91" i="6"/>
  <c r="AQ91" i="6"/>
  <c r="AP91" i="6"/>
  <c r="AO91" i="6"/>
  <c r="AN91" i="6"/>
  <c r="AM91" i="6"/>
  <c r="AJ91" i="6"/>
  <c r="AI91" i="6"/>
  <c r="AH91" i="6"/>
  <c r="AG91" i="6"/>
  <c r="AF91" i="6"/>
  <c r="AE91" i="6"/>
  <c r="AD91" i="6"/>
  <c r="AA91" i="6"/>
  <c r="Z91" i="6"/>
  <c r="Y91" i="6"/>
  <c r="X91" i="6"/>
  <c r="W91" i="6"/>
  <c r="V91" i="6"/>
  <c r="U91" i="6"/>
  <c r="R91" i="6"/>
  <c r="Q91" i="6"/>
  <c r="P91" i="6"/>
  <c r="O91" i="6"/>
  <c r="N91" i="6"/>
  <c r="M91" i="6"/>
  <c r="L91" i="6"/>
  <c r="I91" i="6"/>
  <c r="H91" i="6"/>
  <c r="G91" i="6"/>
  <c r="F91" i="6"/>
  <c r="E91" i="6"/>
  <c r="D91" i="6"/>
  <c r="C91" i="6"/>
  <c r="AW73" i="6"/>
  <c r="AV73" i="6"/>
  <c r="AS73" i="6"/>
  <c r="AR73" i="6"/>
  <c r="AQ73" i="6"/>
  <c r="AP73" i="6"/>
  <c r="AO73" i="6"/>
  <c r="AN73" i="6"/>
  <c r="AM73" i="6"/>
  <c r="AJ73" i="6"/>
  <c r="AI73" i="6"/>
  <c r="AH73" i="6"/>
  <c r="AG73" i="6"/>
  <c r="AF73" i="6"/>
  <c r="AE73" i="6"/>
  <c r="AD73" i="6"/>
  <c r="AA73" i="6"/>
  <c r="Z73" i="6"/>
  <c r="Y73" i="6"/>
  <c r="X73" i="6"/>
  <c r="W73" i="6"/>
  <c r="V73" i="6"/>
  <c r="U73" i="6"/>
  <c r="R73" i="6"/>
  <c r="Q73" i="6"/>
  <c r="P73" i="6"/>
  <c r="O73" i="6"/>
  <c r="N73" i="6"/>
  <c r="M73" i="6"/>
  <c r="L73" i="6"/>
  <c r="I73" i="6"/>
  <c r="H73" i="6"/>
  <c r="G73" i="6"/>
  <c r="F73" i="6"/>
  <c r="E73" i="6"/>
  <c r="D73" i="6"/>
  <c r="C73" i="6"/>
  <c r="AW55" i="6"/>
  <c r="AV55" i="6"/>
  <c r="AS55" i="6"/>
  <c r="AR55" i="6"/>
  <c r="AQ55" i="6"/>
  <c r="AP55" i="6"/>
  <c r="AO55" i="6"/>
  <c r="AN55" i="6"/>
  <c r="AM55" i="6"/>
  <c r="AJ55" i="6"/>
  <c r="AI55" i="6"/>
  <c r="AH55" i="6"/>
  <c r="AG55" i="6"/>
  <c r="AF55" i="6"/>
  <c r="AE55" i="6"/>
  <c r="AD55" i="6"/>
  <c r="AA55" i="6"/>
  <c r="Z55" i="6"/>
  <c r="Y55" i="6"/>
  <c r="X55" i="6"/>
  <c r="W55" i="6"/>
  <c r="V55" i="6"/>
  <c r="U55" i="6"/>
  <c r="R55" i="6"/>
  <c r="Q55" i="6"/>
  <c r="P55" i="6"/>
  <c r="O55" i="6"/>
  <c r="N55" i="6"/>
  <c r="M55" i="6"/>
  <c r="L55" i="6"/>
  <c r="I55" i="6"/>
  <c r="H55" i="6"/>
  <c r="G55" i="6"/>
  <c r="F55" i="6"/>
  <c r="E55" i="6"/>
  <c r="D55" i="6"/>
  <c r="C55" i="6"/>
  <c r="C37" i="6"/>
  <c r="AW37" i="6"/>
  <c r="AV37" i="6"/>
  <c r="AS37" i="6"/>
  <c r="AR37" i="6"/>
  <c r="AQ37" i="6"/>
  <c r="AP37" i="6"/>
  <c r="AO37" i="6"/>
  <c r="AN37" i="6"/>
  <c r="AM37" i="6"/>
  <c r="AJ37" i="6"/>
  <c r="AI37" i="6"/>
  <c r="AH37" i="6"/>
  <c r="AG37" i="6"/>
  <c r="AF37" i="6"/>
  <c r="AE37" i="6"/>
  <c r="AD37" i="6"/>
  <c r="AA37" i="6"/>
  <c r="Z37" i="6"/>
  <c r="Y37" i="6"/>
  <c r="X37" i="6"/>
  <c r="W37" i="6"/>
  <c r="V37" i="6"/>
  <c r="U37" i="6"/>
  <c r="R37" i="6"/>
  <c r="Q37" i="6"/>
  <c r="P37" i="6"/>
  <c r="O37" i="6"/>
  <c r="N37" i="6"/>
  <c r="M37" i="6"/>
  <c r="L37" i="6"/>
  <c r="I37" i="6"/>
  <c r="H37" i="6"/>
  <c r="G37" i="6"/>
  <c r="F37" i="6"/>
  <c r="E37" i="6"/>
  <c r="D37" i="6"/>
  <c r="AW19" i="6"/>
  <c r="AV19" i="6"/>
  <c r="AX19" i="6" s="1"/>
  <c r="AS19" i="6"/>
  <c r="AR19" i="6"/>
  <c r="AQ19" i="6"/>
  <c r="AP19" i="6"/>
  <c r="AO19" i="6"/>
  <c r="AN19" i="6"/>
  <c r="AM19" i="6"/>
  <c r="AJ19" i="6"/>
  <c r="AI19" i="6"/>
  <c r="AH19" i="6"/>
  <c r="AG19" i="6"/>
  <c r="AF19" i="6"/>
  <c r="AE19" i="6"/>
  <c r="AD19" i="6"/>
  <c r="AA19" i="6"/>
  <c r="Z19" i="6"/>
  <c r="Y19" i="6"/>
  <c r="X19" i="6"/>
  <c r="W19" i="6"/>
  <c r="V19" i="6"/>
  <c r="U19" i="6"/>
  <c r="R19" i="6"/>
  <c r="Q19" i="6"/>
  <c r="P19" i="6"/>
  <c r="O19" i="6"/>
  <c r="N19" i="6"/>
  <c r="M19" i="6"/>
  <c r="L19" i="6"/>
  <c r="G19" i="6"/>
  <c r="D19" i="6"/>
  <c r="E19" i="6"/>
  <c r="F19" i="6"/>
  <c r="H19" i="6"/>
  <c r="I19" i="6"/>
  <c r="C19" i="6"/>
  <c r="AX217" i="6" l="1"/>
  <c r="AX163" i="6"/>
  <c r="AX145" i="6"/>
  <c r="AX91" i="6"/>
  <c r="AX73" i="6"/>
  <c r="AX37" i="6"/>
  <c r="AB55" i="6"/>
  <c r="AT163" i="6"/>
  <c r="AT199" i="6"/>
  <c r="AT37" i="6"/>
  <c r="AB91" i="6"/>
  <c r="AK181" i="6"/>
  <c r="AK109" i="6"/>
  <c r="S145" i="6"/>
  <c r="J163" i="6"/>
  <c r="J199" i="6"/>
  <c r="AK37" i="6"/>
  <c r="S55" i="6"/>
  <c r="S91" i="6"/>
  <c r="AB37" i="6"/>
  <c r="J55" i="6"/>
  <c r="AK73" i="6"/>
  <c r="J91" i="6"/>
  <c r="S109" i="6"/>
  <c r="AX109" i="6"/>
  <c r="AT127" i="6"/>
  <c r="S181" i="6"/>
  <c r="AX55" i="6"/>
  <c r="AB73" i="6"/>
  <c r="J109" i="6"/>
  <c r="AK127" i="6"/>
  <c r="J181" i="6"/>
  <c r="AX199" i="6"/>
  <c r="S73" i="6"/>
  <c r="AB127" i="6"/>
  <c r="AK217" i="6"/>
  <c r="S127" i="6"/>
  <c r="AT145" i="6"/>
  <c r="AK163" i="6"/>
  <c r="AK199" i="6"/>
  <c r="AB217" i="6"/>
  <c r="J73" i="6"/>
  <c r="AT55" i="6"/>
  <c r="AT91" i="6"/>
  <c r="J127" i="6"/>
  <c r="AK145" i="6"/>
  <c r="AB163" i="6"/>
  <c r="AX181" i="6"/>
  <c r="AB199" i="6"/>
  <c r="S217" i="6"/>
  <c r="AK55" i="6"/>
  <c r="AK91" i="6"/>
  <c r="AT109" i="6"/>
  <c r="AX127" i="6"/>
  <c r="AB145" i="6"/>
  <c r="S163" i="6"/>
  <c r="AT181" i="6"/>
  <c r="S199" i="6"/>
  <c r="J217" i="6"/>
  <c r="AT73" i="6"/>
  <c r="AB109" i="6"/>
  <c r="J145" i="6"/>
  <c r="AB181" i="6"/>
  <c r="S37" i="6"/>
  <c r="AT217" i="6"/>
  <c r="J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AW211" i="6"/>
  <c r="AV211" i="6"/>
  <c r="AS211" i="6"/>
  <c r="AO211" i="6"/>
  <c r="AP211" i="6" s="1"/>
  <c r="AN211" i="6"/>
  <c r="AM211" i="6"/>
  <c r="AJ211" i="6"/>
  <c r="AI211" i="6"/>
  <c r="AH211" i="6"/>
  <c r="AG211" i="6"/>
  <c r="AF211" i="6"/>
  <c r="AE211" i="6"/>
  <c r="AD211" i="6"/>
  <c r="AA211" i="6"/>
  <c r="Z211" i="6"/>
  <c r="Y211" i="6"/>
  <c r="X211" i="6"/>
  <c r="W211" i="6"/>
  <c r="V211" i="6"/>
  <c r="U211" i="6"/>
  <c r="R211" i="6"/>
  <c r="Q211" i="6"/>
  <c r="P211" i="6"/>
  <c r="O211" i="6"/>
  <c r="N211" i="6"/>
  <c r="M211" i="6"/>
  <c r="L211" i="6"/>
  <c r="I211" i="6"/>
  <c r="H211" i="6"/>
  <c r="G211" i="6"/>
  <c r="F211" i="6"/>
  <c r="E211" i="6"/>
  <c r="D211" i="6"/>
  <c r="C211" i="6"/>
  <c r="AW210" i="6"/>
  <c r="AV210" i="6"/>
  <c r="AS210" i="6"/>
  <c r="AN210" i="6"/>
  <c r="AM210" i="6"/>
  <c r="AJ210" i="6"/>
  <c r="AI210" i="6"/>
  <c r="AH210" i="6"/>
  <c r="AG210" i="6"/>
  <c r="AF210" i="6"/>
  <c r="AE210" i="6"/>
  <c r="AD210" i="6"/>
  <c r="AA210" i="6"/>
  <c r="Z210" i="6"/>
  <c r="Y210" i="6"/>
  <c r="X210" i="6"/>
  <c r="W210" i="6"/>
  <c r="V210" i="6"/>
  <c r="U210" i="6"/>
  <c r="R210" i="6"/>
  <c r="Q210" i="6"/>
  <c r="P210" i="6"/>
  <c r="O210" i="6"/>
  <c r="N210" i="6"/>
  <c r="M210" i="6"/>
  <c r="L210" i="6"/>
  <c r="I210" i="6"/>
  <c r="H210" i="6"/>
  <c r="G210" i="6"/>
  <c r="F210" i="6"/>
  <c r="E210" i="6"/>
  <c r="D210" i="6"/>
  <c r="C210" i="6"/>
  <c r="AW209" i="6"/>
  <c r="AV209" i="6"/>
  <c r="AS209" i="6"/>
  <c r="AN209" i="6"/>
  <c r="AM209" i="6"/>
  <c r="AJ209" i="6"/>
  <c r="AI209" i="6"/>
  <c r="AH209" i="6"/>
  <c r="AG209" i="6"/>
  <c r="AF209" i="6"/>
  <c r="AE209" i="6"/>
  <c r="AD209" i="6"/>
  <c r="AA209" i="6"/>
  <c r="Z209" i="6"/>
  <c r="Y209" i="6"/>
  <c r="X209" i="6"/>
  <c r="W209" i="6"/>
  <c r="V209" i="6"/>
  <c r="U209" i="6"/>
  <c r="R209" i="6"/>
  <c r="O209" i="6"/>
  <c r="N209" i="6"/>
  <c r="M209" i="6"/>
  <c r="L209" i="6"/>
  <c r="I209" i="6"/>
  <c r="H209" i="6"/>
  <c r="G209" i="6"/>
  <c r="F209" i="6"/>
  <c r="E209" i="6"/>
  <c r="D209" i="6"/>
  <c r="C209" i="6"/>
  <c r="AT208" i="6"/>
  <c r="AK208" i="6"/>
  <c r="AB208" i="6"/>
  <c r="S208" i="6"/>
  <c r="J208" i="6"/>
  <c r="AW207" i="6"/>
  <c r="AV207" i="6"/>
  <c r="AS207" i="6"/>
  <c r="AR207" i="6"/>
  <c r="AQ207" i="6"/>
  <c r="AP207" i="6"/>
  <c r="AO207" i="6"/>
  <c r="AN207" i="6"/>
  <c r="AM207" i="6"/>
  <c r="AJ207" i="6"/>
  <c r="AI207" i="6"/>
  <c r="AH207" i="6"/>
  <c r="AG207" i="6"/>
  <c r="AF207" i="6"/>
  <c r="AE207" i="6"/>
  <c r="AD207" i="6"/>
  <c r="AA207" i="6"/>
  <c r="Z207" i="6"/>
  <c r="Y207" i="6"/>
  <c r="X207" i="6"/>
  <c r="W207" i="6"/>
  <c r="V207" i="6"/>
  <c r="U207" i="6"/>
  <c r="R207" i="6"/>
  <c r="Q207" i="6"/>
  <c r="P207" i="6"/>
  <c r="O207" i="6"/>
  <c r="N207" i="6"/>
  <c r="M207" i="6"/>
  <c r="L207" i="6"/>
  <c r="I207" i="6"/>
  <c r="H207" i="6"/>
  <c r="G207" i="6"/>
  <c r="F207" i="6"/>
  <c r="E207" i="6"/>
  <c r="D207" i="6"/>
  <c r="C207" i="6"/>
  <c r="AW206" i="6"/>
  <c r="AV206" i="6"/>
  <c r="AS206" i="6"/>
  <c r="AR206" i="6"/>
  <c r="AQ206" i="6"/>
  <c r="AP206" i="6"/>
  <c r="AO206" i="6"/>
  <c r="AN206" i="6"/>
  <c r="AM206" i="6"/>
  <c r="AJ206" i="6"/>
  <c r="AI206" i="6"/>
  <c r="AH206" i="6"/>
  <c r="AG206" i="6"/>
  <c r="AF206" i="6"/>
  <c r="AE206" i="6"/>
  <c r="AD206" i="6"/>
  <c r="AA206" i="6"/>
  <c r="Z206" i="6"/>
  <c r="Y206" i="6"/>
  <c r="X206" i="6"/>
  <c r="W206" i="6"/>
  <c r="V206" i="6"/>
  <c r="U206" i="6"/>
  <c r="R206" i="6"/>
  <c r="Q206" i="6"/>
  <c r="P206" i="6"/>
  <c r="O206" i="6"/>
  <c r="N206" i="6"/>
  <c r="M206" i="6"/>
  <c r="L206" i="6"/>
  <c r="I206" i="6"/>
  <c r="H206" i="6"/>
  <c r="G206" i="6"/>
  <c r="F206" i="6"/>
  <c r="E206" i="6"/>
  <c r="D206" i="6"/>
  <c r="C206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AW193" i="6"/>
  <c r="AV193" i="6"/>
  <c r="AS193" i="6"/>
  <c r="AR193" i="6"/>
  <c r="AQ193" i="6"/>
  <c r="AP193" i="6"/>
  <c r="AO193" i="6"/>
  <c r="AN193" i="6"/>
  <c r="AM193" i="6"/>
  <c r="AJ193" i="6"/>
  <c r="AI193" i="6"/>
  <c r="AH193" i="6"/>
  <c r="AG193" i="6"/>
  <c r="AF193" i="6"/>
  <c r="AE193" i="6"/>
  <c r="AD193" i="6"/>
  <c r="AA193" i="6"/>
  <c r="Z193" i="6"/>
  <c r="Y193" i="6"/>
  <c r="X193" i="6"/>
  <c r="W193" i="6"/>
  <c r="V193" i="6"/>
  <c r="U193" i="6"/>
  <c r="R193" i="6"/>
  <c r="Q193" i="6"/>
  <c r="P193" i="6"/>
  <c r="O193" i="6"/>
  <c r="N193" i="6"/>
  <c r="M193" i="6"/>
  <c r="L193" i="6"/>
  <c r="I193" i="6"/>
  <c r="H193" i="6"/>
  <c r="G193" i="6"/>
  <c r="F193" i="6"/>
  <c r="E193" i="6"/>
  <c r="D193" i="6"/>
  <c r="C193" i="6"/>
  <c r="AW192" i="6"/>
  <c r="AV192" i="6"/>
  <c r="AX192" i="6" s="1"/>
  <c r="AS192" i="6"/>
  <c r="AR192" i="6"/>
  <c r="AQ192" i="6"/>
  <c r="AP192" i="6"/>
  <c r="AO192" i="6"/>
  <c r="AN192" i="6"/>
  <c r="AM192" i="6"/>
  <c r="AJ192" i="6"/>
  <c r="AI192" i="6"/>
  <c r="AH192" i="6"/>
  <c r="AG192" i="6"/>
  <c r="AF192" i="6"/>
  <c r="AE192" i="6"/>
  <c r="AD192" i="6"/>
  <c r="AA192" i="6"/>
  <c r="Z192" i="6"/>
  <c r="Y192" i="6"/>
  <c r="X192" i="6"/>
  <c r="W192" i="6"/>
  <c r="V192" i="6"/>
  <c r="U192" i="6"/>
  <c r="R192" i="6"/>
  <c r="Q192" i="6"/>
  <c r="P192" i="6"/>
  <c r="O192" i="6"/>
  <c r="N192" i="6"/>
  <c r="M192" i="6"/>
  <c r="L192" i="6"/>
  <c r="I192" i="6"/>
  <c r="H192" i="6"/>
  <c r="J192" i="6" s="1"/>
  <c r="G192" i="6"/>
  <c r="F192" i="6"/>
  <c r="E192" i="6"/>
  <c r="D192" i="6"/>
  <c r="C192" i="6"/>
  <c r="AW191" i="6"/>
  <c r="AV191" i="6"/>
  <c r="AS191" i="6"/>
  <c r="AR191" i="6"/>
  <c r="AQ191" i="6"/>
  <c r="AP191" i="6"/>
  <c r="AO191" i="6"/>
  <c r="AN191" i="6"/>
  <c r="AM191" i="6"/>
  <c r="AJ191" i="6"/>
  <c r="AI191" i="6"/>
  <c r="AH191" i="6"/>
  <c r="AG191" i="6"/>
  <c r="AF191" i="6"/>
  <c r="AE191" i="6"/>
  <c r="AD191" i="6"/>
  <c r="AA191" i="6"/>
  <c r="Z191" i="6"/>
  <c r="Y191" i="6"/>
  <c r="X191" i="6"/>
  <c r="W191" i="6"/>
  <c r="V191" i="6"/>
  <c r="U191" i="6"/>
  <c r="R191" i="6"/>
  <c r="Q191" i="6"/>
  <c r="P191" i="6"/>
  <c r="O191" i="6"/>
  <c r="N191" i="6"/>
  <c r="M191" i="6"/>
  <c r="L191" i="6"/>
  <c r="I191" i="6"/>
  <c r="H191" i="6"/>
  <c r="G191" i="6"/>
  <c r="F191" i="6"/>
  <c r="E191" i="6"/>
  <c r="D191" i="6"/>
  <c r="C191" i="6"/>
  <c r="AT190" i="6"/>
  <c r="AK190" i="6"/>
  <c r="AB190" i="6"/>
  <c r="S190" i="6"/>
  <c r="J190" i="6"/>
  <c r="AW189" i="6"/>
  <c r="AV189" i="6"/>
  <c r="AS189" i="6"/>
  <c r="AR189" i="6"/>
  <c r="AQ189" i="6"/>
  <c r="AP189" i="6"/>
  <c r="AO189" i="6"/>
  <c r="AN189" i="6"/>
  <c r="AM189" i="6"/>
  <c r="AJ189" i="6"/>
  <c r="AI189" i="6"/>
  <c r="AH189" i="6"/>
  <c r="AG189" i="6"/>
  <c r="AF189" i="6"/>
  <c r="AE189" i="6"/>
  <c r="AD189" i="6"/>
  <c r="AA189" i="6"/>
  <c r="Z189" i="6"/>
  <c r="Y189" i="6"/>
  <c r="X189" i="6"/>
  <c r="W189" i="6"/>
  <c r="V189" i="6"/>
  <c r="U189" i="6"/>
  <c r="R189" i="6"/>
  <c r="Q189" i="6"/>
  <c r="P189" i="6"/>
  <c r="O189" i="6"/>
  <c r="N189" i="6"/>
  <c r="M189" i="6"/>
  <c r="L189" i="6"/>
  <c r="I189" i="6"/>
  <c r="H189" i="6"/>
  <c r="G189" i="6"/>
  <c r="F189" i="6"/>
  <c r="E189" i="6"/>
  <c r="D189" i="6"/>
  <c r="C189" i="6"/>
  <c r="AW188" i="6"/>
  <c r="AV188" i="6"/>
  <c r="AS188" i="6"/>
  <c r="AR188" i="6"/>
  <c r="AQ188" i="6"/>
  <c r="AP188" i="6"/>
  <c r="AO188" i="6"/>
  <c r="AN188" i="6"/>
  <c r="AM188" i="6"/>
  <c r="AJ188" i="6"/>
  <c r="AI188" i="6"/>
  <c r="AH188" i="6"/>
  <c r="AG188" i="6"/>
  <c r="AF188" i="6"/>
  <c r="AE188" i="6"/>
  <c r="AD188" i="6"/>
  <c r="AA188" i="6"/>
  <c r="Z188" i="6"/>
  <c r="Y188" i="6"/>
  <c r="X188" i="6"/>
  <c r="W188" i="6"/>
  <c r="V188" i="6"/>
  <c r="U188" i="6"/>
  <c r="R188" i="6"/>
  <c r="Q188" i="6"/>
  <c r="P188" i="6"/>
  <c r="O188" i="6"/>
  <c r="N188" i="6"/>
  <c r="M188" i="6"/>
  <c r="L188" i="6"/>
  <c r="I188" i="6"/>
  <c r="H188" i="6"/>
  <c r="G188" i="6"/>
  <c r="F188" i="6"/>
  <c r="E188" i="6"/>
  <c r="D188" i="6"/>
  <c r="C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AW175" i="6"/>
  <c r="AV175" i="6"/>
  <c r="AS175" i="6"/>
  <c r="AR175" i="6"/>
  <c r="AQ175" i="6"/>
  <c r="AP175" i="6"/>
  <c r="AO175" i="6"/>
  <c r="AN175" i="6"/>
  <c r="AM175" i="6"/>
  <c r="AJ175" i="6"/>
  <c r="AI175" i="6"/>
  <c r="AH175" i="6"/>
  <c r="AG175" i="6"/>
  <c r="AF175" i="6"/>
  <c r="AE175" i="6"/>
  <c r="AD175" i="6"/>
  <c r="AA175" i="6"/>
  <c r="Z175" i="6"/>
  <c r="Y175" i="6"/>
  <c r="X175" i="6"/>
  <c r="W175" i="6"/>
  <c r="V175" i="6"/>
  <c r="U175" i="6"/>
  <c r="R175" i="6"/>
  <c r="Q175" i="6"/>
  <c r="P175" i="6"/>
  <c r="O175" i="6"/>
  <c r="N175" i="6"/>
  <c r="M175" i="6"/>
  <c r="L175" i="6"/>
  <c r="I175" i="6"/>
  <c r="H175" i="6"/>
  <c r="G175" i="6"/>
  <c r="F175" i="6"/>
  <c r="E175" i="6"/>
  <c r="D175" i="6"/>
  <c r="C175" i="6"/>
  <c r="AW174" i="6"/>
  <c r="AV174" i="6"/>
  <c r="AS174" i="6"/>
  <c r="AR174" i="6"/>
  <c r="AQ174" i="6"/>
  <c r="AP174" i="6"/>
  <c r="AO174" i="6"/>
  <c r="AN174" i="6"/>
  <c r="AM174" i="6"/>
  <c r="AJ174" i="6"/>
  <c r="AI174" i="6"/>
  <c r="AH174" i="6"/>
  <c r="AG174" i="6"/>
  <c r="AF174" i="6"/>
  <c r="AE174" i="6"/>
  <c r="AD174" i="6"/>
  <c r="AA174" i="6"/>
  <c r="Z174" i="6"/>
  <c r="Y174" i="6"/>
  <c r="X174" i="6"/>
  <c r="W174" i="6"/>
  <c r="V174" i="6"/>
  <c r="U174" i="6"/>
  <c r="R174" i="6"/>
  <c r="Q174" i="6"/>
  <c r="P174" i="6"/>
  <c r="O174" i="6"/>
  <c r="N174" i="6"/>
  <c r="M174" i="6"/>
  <c r="L174" i="6"/>
  <c r="S174" i="6" s="1"/>
  <c r="I174" i="6"/>
  <c r="H174" i="6"/>
  <c r="G174" i="6"/>
  <c r="F174" i="6"/>
  <c r="E174" i="6"/>
  <c r="D174" i="6"/>
  <c r="C174" i="6"/>
  <c r="AW173" i="6"/>
  <c r="AV173" i="6"/>
  <c r="AS173" i="6"/>
  <c r="AR173" i="6"/>
  <c r="AQ173" i="6"/>
  <c r="AP173" i="6"/>
  <c r="AO173" i="6"/>
  <c r="AN173" i="6"/>
  <c r="AM173" i="6"/>
  <c r="AT173" i="6" s="1"/>
  <c r="AJ173" i="6"/>
  <c r="AI173" i="6"/>
  <c r="AH173" i="6"/>
  <c r="AG173" i="6"/>
  <c r="AF173" i="6"/>
  <c r="AE173" i="6"/>
  <c r="AD173" i="6"/>
  <c r="AA173" i="6"/>
  <c r="Z173" i="6"/>
  <c r="Y173" i="6"/>
  <c r="X173" i="6"/>
  <c r="W173" i="6"/>
  <c r="V173" i="6"/>
  <c r="U173" i="6"/>
  <c r="R173" i="6"/>
  <c r="Q173" i="6"/>
  <c r="P173" i="6"/>
  <c r="O173" i="6"/>
  <c r="N173" i="6"/>
  <c r="M173" i="6"/>
  <c r="L173" i="6"/>
  <c r="I173" i="6"/>
  <c r="H173" i="6"/>
  <c r="G173" i="6"/>
  <c r="F173" i="6"/>
  <c r="E173" i="6"/>
  <c r="D173" i="6"/>
  <c r="C173" i="6"/>
  <c r="AT172" i="6"/>
  <c r="AK172" i="6"/>
  <c r="AB172" i="6"/>
  <c r="S172" i="6"/>
  <c r="J172" i="6"/>
  <c r="AW171" i="6"/>
  <c r="AV171" i="6"/>
  <c r="AX171" i="6" s="1"/>
  <c r="AS171" i="6"/>
  <c r="AR171" i="6"/>
  <c r="AQ171" i="6"/>
  <c r="AP171" i="6"/>
  <c r="AO171" i="6"/>
  <c r="AN171" i="6"/>
  <c r="AM171" i="6"/>
  <c r="AJ171" i="6"/>
  <c r="AI171" i="6"/>
  <c r="AH171" i="6"/>
  <c r="AG171" i="6"/>
  <c r="AF171" i="6"/>
  <c r="AE171" i="6"/>
  <c r="AD171" i="6"/>
  <c r="AA171" i="6"/>
  <c r="Z171" i="6"/>
  <c r="Y171" i="6"/>
  <c r="X171" i="6"/>
  <c r="W171" i="6"/>
  <c r="V171" i="6"/>
  <c r="U171" i="6"/>
  <c r="R171" i="6"/>
  <c r="Q171" i="6"/>
  <c r="P171" i="6"/>
  <c r="O171" i="6"/>
  <c r="N171" i="6"/>
  <c r="M171" i="6"/>
  <c r="L171" i="6"/>
  <c r="I171" i="6"/>
  <c r="H171" i="6"/>
  <c r="G171" i="6"/>
  <c r="F171" i="6"/>
  <c r="E171" i="6"/>
  <c r="D171" i="6"/>
  <c r="C171" i="6"/>
  <c r="AW170" i="6"/>
  <c r="AV170" i="6"/>
  <c r="AS170" i="6"/>
  <c r="AR170" i="6"/>
  <c r="AQ170" i="6"/>
  <c r="AP170" i="6"/>
  <c r="AO170" i="6"/>
  <c r="AN170" i="6"/>
  <c r="AM170" i="6"/>
  <c r="AJ170" i="6"/>
  <c r="AI170" i="6"/>
  <c r="AH170" i="6"/>
  <c r="AG170" i="6"/>
  <c r="AF170" i="6"/>
  <c r="AE170" i="6"/>
  <c r="AD170" i="6"/>
  <c r="AA170" i="6"/>
  <c r="Z170" i="6"/>
  <c r="Y170" i="6"/>
  <c r="X170" i="6"/>
  <c r="W170" i="6"/>
  <c r="V170" i="6"/>
  <c r="U170" i="6"/>
  <c r="R170" i="6"/>
  <c r="Q170" i="6"/>
  <c r="P170" i="6"/>
  <c r="O170" i="6"/>
  <c r="N170" i="6"/>
  <c r="M170" i="6"/>
  <c r="L170" i="6"/>
  <c r="I170" i="6"/>
  <c r="H170" i="6"/>
  <c r="G170" i="6"/>
  <c r="F170" i="6"/>
  <c r="E170" i="6"/>
  <c r="D170" i="6"/>
  <c r="C170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AW157" i="6"/>
  <c r="AV157" i="6"/>
  <c r="AS157" i="6"/>
  <c r="AR157" i="6"/>
  <c r="AQ157" i="6"/>
  <c r="AP157" i="6"/>
  <c r="AO157" i="6"/>
  <c r="AN157" i="6"/>
  <c r="AM157" i="6"/>
  <c r="AT157" i="6" s="1"/>
  <c r="AJ157" i="6"/>
  <c r="AI157" i="6"/>
  <c r="AH157" i="6"/>
  <c r="AG157" i="6"/>
  <c r="AF157" i="6"/>
  <c r="AE157" i="6"/>
  <c r="AD157" i="6"/>
  <c r="AA157" i="6"/>
  <c r="Z157" i="6"/>
  <c r="Y157" i="6"/>
  <c r="X157" i="6"/>
  <c r="W157" i="6"/>
  <c r="V157" i="6"/>
  <c r="U157" i="6"/>
  <c r="R157" i="6"/>
  <c r="Q157" i="6"/>
  <c r="P157" i="6"/>
  <c r="O157" i="6"/>
  <c r="N157" i="6"/>
  <c r="M157" i="6"/>
  <c r="L157" i="6"/>
  <c r="I157" i="6"/>
  <c r="H157" i="6"/>
  <c r="G157" i="6"/>
  <c r="F157" i="6"/>
  <c r="E157" i="6"/>
  <c r="D157" i="6"/>
  <c r="C157" i="6"/>
  <c r="AW156" i="6"/>
  <c r="AV156" i="6"/>
  <c r="AS156" i="6"/>
  <c r="AR156" i="6"/>
  <c r="AQ156" i="6"/>
  <c r="AP156" i="6"/>
  <c r="AO156" i="6"/>
  <c r="AN156" i="6"/>
  <c r="AM156" i="6"/>
  <c r="AJ156" i="6"/>
  <c r="AI156" i="6"/>
  <c r="AH156" i="6"/>
  <c r="AG156" i="6"/>
  <c r="AF156" i="6"/>
  <c r="AE156" i="6"/>
  <c r="AD156" i="6"/>
  <c r="AA156" i="6"/>
  <c r="Z156" i="6"/>
  <c r="Y156" i="6"/>
  <c r="X156" i="6"/>
  <c r="W156" i="6"/>
  <c r="V156" i="6"/>
  <c r="U156" i="6"/>
  <c r="R156" i="6"/>
  <c r="Q156" i="6"/>
  <c r="P156" i="6"/>
  <c r="O156" i="6"/>
  <c r="N156" i="6"/>
  <c r="M156" i="6"/>
  <c r="L156" i="6"/>
  <c r="I156" i="6"/>
  <c r="H156" i="6"/>
  <c r="G156" i="6"/>
  <c r="F156" i="6"/>
  <c r="E156" i="6"/>
  <c r="D156" i="6"/>
  <c r="C156" i="6"/>
  <c r="AW155" i="6"/>
  <c r="AV155" i="6"/>
  <c r="AS155" i="6"/>
  <c r="AR155" i="6"/>
  <c r="AQ155" i="6"/>
  <c r="AP155" i="6"/>
  <c r="AO155" i="6"/>
  <c r="AN155" i="6"/>
  <c r="AM155" i="6"/>
  <c r="AJ155" i="6"/>
  <c r="AI155" i="6"/>
  <c r="AH155" i="6"/>
  <c r="AG155" i="6"/>
  <c r="AF155" i="6"/>
  <c r="AE155" i="6"/>
  <c r="AD155" i="6"/>
  <c r="AA155" i="6"/>
  <c r="Z155" i="6"/>
  <c r="Y155" i="6"/>
  <c r="X155" i="6"/>
  <c r="W155" i="6"/>
  <c r="V155" i="6"/>
  <c r="U155" i="6"/>
  <c r="R155" i="6"/>
  <c r="Q155" i="6"/>
  <c r="P155" i="6"/>
  <c r="O155" i="6"/>
  <c r="N155" i="6"/>
  <c r="M155" i="6"/>
  <c r="L155" i="6"/>
  <c r="I155" i="6"/>
  <c r="H155" i="6"/>
  <c r="G155" i="6"/>
  <c r="F155" i="6"/>
  <c r="E155" i="6"/>
  <c r="D155" i="6"/>
  <c r="C155" i="6"/>
  <c r="AT154" i="6"/>
  <c r="AK154" i="6"/>
  <c r="AB154" i="6"/>
  <c r="S154" i="6"/>
  <c r="J154" i="6"/>
  <c r="AW153" i="6"/>
  <c r="AV153" i="6"/>
  <c r="AS153" i="6"/>
  <c r="AR153" i="6"/>
  <c r="AQ153" i="6"/>
  <c r="AP153" i="6"/>
  <c r="AO153" i="6"/>
  <c r="AN153" i="6"/>
  <c r="AM153" i="6"/>
  <c r="AJ153" i="6"/>
  <c r="AI153" i="6"/>
  <c r="AH153" i="6"/>
  <c r="AG153" i="6"/>
  <c r="AF153" i="6"/>
  <c r="AE153" i="6"/>
  <c r="AD153" i="6"/>
  <c r="AA153" i="6"/>
  <c r="Z153" i="6"/>
  <c r="Y153" i="6"/>
  <c r="X153" i="6"/>
  <c r="W153" i="6"/>
  <c r="V153" i="6"/>
  <c r="U153" i="6"/>
  <c r="R153" i="6"/>
  <c r="Q153" i="6"/>
  <c r="P153" i="6"/>
  <c r="O153" i="6"/>
  <c r="N153" i="6"/>
  <c r="M153" i="6"/>
  <c r="L153" i="6"/>
  <c r="I153" i="6"/>
  <c r="H153" i="6"/>
  <c r="G153" i="6"/>
  <c r="F153" i="6"/>
  <c r="E153" i="6"/>
  <c r="D153" i="6"/>
  <c r="C153" i="6"/>
  <c r="AW152" i="6"/>
  <c r="AV152" i="6"/>
  <c r="AS152" i="6"/>
  <c r="AR152" i="6"/>
  <c r="AQ152" i="6"/>
  <c r="AP152" i="6"/>
  <c r="AO152" i="6"/>
  <c r="AN152" i="6"/>
  <c r="AM152" i="6"/>
  <c r="AJ152" i="6"/>
  <c r="AI152" i="6"/>
  <c r="AH152" i="6"/>
  <c r="AG152" i="6"/>
  <c r="AF152" i="6"/>
  <c r="AE152" i="6"/>
  <c r="AD152" i="6"/>
  <c r="AA152" i="6"/>
  <c r="Z152" i="6"/>
  <c r="Y152" i="6"/>
  <c r="X152" i="6"/>
  <c r="W152" i="6"/>
  <c r="V152" i="6"/>
  <c r="U152" i="6"/>
  <c r="R152" i="6"/>
  <c r="Q152" i="6"/>
  <c r="P152" i="6"/>
  <c r="O152" i="6"/>
  <c r="N152" i="6"/>
  <c r="M152" i="6"/>
  <c r="L152" i="6"/>
  <c r="I152" i="6"/>
  <c r="H152" i="6"/>
  <c r="G152" i="6"/>
  <c r="F152" i="6"/>
  <c r="E152" i="6"/>
  <c r="D152" i="6"/>
  <c r="C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AW139" i="6"/>
  <c r="AV139" i="6"/>
  <c r="AS139" i="6"/>
  <c r="AR139" i="6"/>
  <c r="AQ139" i="6"/>
  <c r="AP139" i="6"/>
  <c r="AO139" i="6"/>
  <c r="AN139" i="6"/>
  <c r="AM139" i="6"/>
  <c r="AJ139" i="6"/>
  <c r="AI139" i="6"/>
  <c r="AH139" i="6"/>
  <c r="AG139" i="6"/>
  <c r="AF139" i="6"/>
  <c r="AE139" i="6"/>
  <c r="AD139" i="6"/>
  <c r="AA139" i="6"/>
  <c r="Z139" i="6"/>
  <c r="Y139" i="6"/>
  <c r="X139" i="6"/>
  <c r="W139" i="6"/>
  <c r="V139" i="6"/>
  <c r="U139" i="6"/>
  <c r="R139" i="6"/>
  <c r="Q139" i="6"/>
  <c r="P139" i="6"/>
  <c r="O139" i="6"/>
  <c r="N139" i="6"/>
  <c r="M139" i="6"/>
  <c r="L139" i="6"/>
  <c r="I139" i="6"/>
  <c r="H139" i="6"/>
  <c r="G139" i="6"/>
  <c r="F139" i="6"/>
  <c r="E139" i="6"/>
  <c r="D139" i="6"/>
  <c r="C139" i="6"/>
  <c r="AW138" i="6"/>
  <c r="AV138" i="6"/>
  <c r="AS138" i="6"/>
  <c r="AR138" i="6"/>
  <c r="AQ138" i="6"/>
  <c r="AP138" i="6"/>
  <c r="AO138" i="6"/>
  <c r="AN138" i="6"/>
  <c r="AM138" i="6"/>
  <c r="AJ138" i="6"/>
  <c r="AI138" i="6"/>
  <c r="AH138" i="6"/>
  <c r="AG138" i="6"/>
  <c r="AF138" i="6"/>
  <c r="AE138" i="6"/>
  <c r="AD138" i="6"/>
  <c r="AA138" i="6"/>
  <c r="Z138" i="6"/>
  <c r="Y138" i="6"/>
  <c r="X138" i="6"/>
  <c r="W138" i="6"/>
  <c r="V138" i="6"/>
  <c r="U138" i="6"/>
  <c r="R138" i="6"/>
  <c r="Q138" i="6"/>
  <c r="P138" i="6"/>
  <c r="O138" i="6"/>
  <c r="N138" i="6"/>
  <c r="M138" i="6"/>
  <c r="L138" i="6"/>
  <c r="I138" i="6"/>
  <c r="H138" i="6"/>
  <c r="G138" i="6"/>
  <c r="F138" i="6"/>
  <c r="E138" i="6"/>
  <c r="D138" i="6"/>
  <c r="C138" i="6"/>
  <c r="AW137" i="6"/>
  <c r="AV137" i="6"/>
  <c r="AS137" i="6"/>
  <c r="AR137" i="6"/>
  <c r="AQ137" i="6"/>
  <c r="AP137" i="6"/>
  <c r="AO137" i="6"/>
  <c r="AN137" i="6"/>
  <c r="AM137" i="6"/>
  <c r="AJ137" i="6"/>
  <c r="AI137" i="6"/>
  <c r="AH137" i="6"/>
  <c r="AG137" i="6"/>
  <c r="AF137" i="6"/>
  <c r="AE137" i="6"/>
  <c r="AD137" i="6"/>
  <c r="AA137" i="6"/>
  <c r="Z137" i="6"/>
  <c r="Y137" i="6"/>
  <c r="X137" i="6"/>
  <c r="W137" i="6"/>
  <c r="V137" i="6"/>
  <c r="U137" i="6"/>
  <c r="R137" i="6"/>
  <c r="Q137" i="6"/>
  <c r="P137" i="6"/>
  <c r="O137" i="6"/>
  <c r="N137" i="6"/>
  <c r="M137" i="6"/>
  <c r="L137" i="6"/>
  <c r="I137" i="6"/>
  <c r="H137" i="6"/>
  <c r="G137" i="6"/>
  <c r="F137" i="6"/>
  <c r="E137" i="6"/>
  <c r="D137" i="6"/>
  <c r="C137" i="6"/>
  <c r="AT136" i="6"/>
  <c r="AK136" i="6"/>
  <c r="AB136" i="6"/>
  <c r="S136" i="6"/>
  <c r="J136" i="6"/>
  <c r="AW135" i="6"/>
  <c r="AV135" i="6"/>
  <c r="AX135" i="6" s="1"/>
  <c r="AS135" i="6"/>
  <c r="AR135" i="6"/>
  <c r="AQ135" i="6"/>
  <c r="AP135" i="6"/>
  <c r="AO135" i="6"/>
  <c r="AN135" i="6"/>
  <c r="AM135" i="6"/>
  <c r="AJ135" i="6"/>
  <c r="AI135" i="6"/>
  <c r="AH135" i="6"/>
  <c r="AG135" i="6"/>
  <c r="AF135" i="6"/>
  <c r="AE135" i="6"/>
  <c r="AD135" i="6"/>
  <c r="AA135" i="6"/>
  <c r="Z135" i="6"/>
  <c r="Y135" i="6"/>
  <c r="X135" i="6"/>
  <c r="W135" i="6"/>
  <c r="V135" i="6"/>
  <c r="U135" i="6"/>
  <c r="R135" i="6"/>
  <c r="Q135" i="6"/>
  <c r="P135" i="6"/>
  <c r="O135" i="6"/>
  <c r="N135" i="6"/>
  <c r="M135" i="6"/>
  <c r="L135" i="6"/>
  <c r="I135" i="6"/>
  <c r="H135" i="6"/>
  <c r="G135" i="6"/>
  <c r="F135" i="6"/>
  <c r="E135" i="6"/>
  <c r="D135" i="6"/>
  <c r="C135" i="6"/>
  <c r="AW134" i="6"/>
  <c r="AV134" i="6"/>
  <c r="AS134" i="6"/>
  <c r="AR134" i="6"/>
  <c r="AQ134" i="6"/>
  <c r="AP134" i="6"/>
  <c r="AO134" i="6"/>
  <c r="AN134" i="6"/>
  <c r="AM134" i="6"/>
  <c r="AJ134" i="6"/>
  <c r="AI134" i="6"/>
  <c r="AH134" i="6"/>
  <c r="AG134" i="6"/>
  <c r="AF134" i="6"/>
  <c r="AE134" i="6"/>
  <c r="AD134" i="6"/>
  <c r="AA134" i="6"/>
  <c r="Z134" i="6"/>
  <c r="Y134" i="6"/>
  <c r="X134" i="6"/>
  <c r="W134" i="6"/>
  <c r="V134" i="6"/>
  <c r="U134" i="6"/>
  <c r="R134" i="6"/>
  <c r="Q134" i="6"/>
  <c r="P134" i="6"/>
  <c r="O134" i="6"/>
  <c r="N134" i="6"/>
  <c r="M134" i="6"/>
  <c r="L134" i="6"/>
  <c r="I134" i="6"/>
  <c r="H134" i="6"/>
  <c r="G134" i="6"/>
  <c r="F134" i="6"/>
  <c r="E134" i="6"/>
  <c r="D134" i="6"/>
  <c r="C134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AW121" i="6"/>
  <c r="AV121" i="6"/>
  <c r="AS121" i="6"/>
  <c r="AR121" i="6"/>
  <c r="AQ121" i="6"/>
  <c r="AP121" i="6"/>
  <c r="AO121" i="6"/>
  <c r="AN121" i="6"/>
  <c r="AM121" i="6"/>
  <c r="AJ121" i="6"/>
  <c r="AI121" i="6"/>
  <c r="AH121" i="6"/>
  <c r="AG121" i="6"/>
  <c r="AF121" i="6"/>
  <c r="AE121" i="6"/>
  <c r="AD121" i="6"/>
  <c r="AA121" i="6"/>
  <c r="Z121" i="6"/>
  <c r="Y121" i="6"/>
  <c r="X121" i="6"/>
  <c r="W121" i="6"/>
  <c r="V121" i="6"/>
  <c r="U121" i="6"/>
  <c r="R121" i="6"/>
  <c r="Q121" i="6"/>
  <c r="P121" i="6"/>
  <c r="O121" i="6"/>
  <c r="N121" i="6"/>
  <c r="M121" i="6"/>
  <c r="L121" i="6"/>
  <c r="I121" i="6"/>
  <c r="H121" i="6"/>
  <c r="G121" i="6"/>
  <c r="F121" i="6"/>
  <c r="E121" i="6"/>
  <c r="D121" i="6"/>
  <c r="C121" i="6"/>
  <c r="AW120" i="6"/>
  <c r="AV120" i="6"/>
  <c r="AS120" i="6"/>
  <c r="AR120" i="6"/>
  <c r="AQ120" i="6"/>
  <c r="AP120" i="6"/>
  <c r="AO120" i="6"/>
  <c r="AN120" i="6"/>
  <c r="AM120" i="6"/>
  <c r="AJ120" i="6"/>
  <c r="AI120" i="6"/>
  <c r="AH120" i="6"/>
  <c r="AG120" i="6"/>
  <c r="AF120" i="6"/>
  <c r="AE120" i="6"/>
  <c r="AD120" i="6"/>
  <c r="AK120" i="6" s="1"/>
  <c r="AA120" i="6"/>
  <c r="Z120" i="6"/>
  <c r="Y120" i="6"/>
  <c r="X120" i="6"/>
  <c r="W120" i="6"/>
  <c r="V120" i="6"/>
  <c r="U120" i="6"/>
  <c r="R120" i="6"/>
  <c r="Q120" i="6"/>
  <c r="P120" i="6"/>
  <c r="O120" i="6"/>
  <c r="N120" i="6"/>
  <c r="M120" i="6"/>
  <c r="L120" i="6"/>
  <c r="I120" i="6"/>
  <c r="H120" i="6"/>
  <c r="G120" i="6"/>
  <c r="F120" i="6"/>
  <c r="E120" i="6"/>
  <c r="D120" i="6"/>
  <c r="C120" i="6"/>
  <c r="AW119" i="6"/>
  <c r="AV119" i="6"/>
  <c r="AS119" i="6"/>
  <c r="AR119" i="6"/>
  <c r="AQ119" i="6"/>
  <c r="AP119" i="6"/>
  <c r="AO119" i="6"/>
  <c r="AN119" i="6"/>
  <c r="AM119" i="6"/>
  <c r="AJ119" i="6"/>
  <c r="AI119" i="6"/>
  <c r="AH119" i="6"/>
  <c r="AG119" i="6"/>
  <c r="AF119" i="6"/>
  <c r="AE119" i="6"/>
  <c r="AD119" i="6"/>
  <c r="AA119" i="6"/>
  <c r="Z119" i="6"/>
  <c r="Y119" i="6"/>
  <c r="X119" i="6"/>
  <c r="W119" i="6"/>
  <c r="V119" i="6"/>
  <c r="U119" i="6"/>
  <c r="R119" i="6"/>
  <c r="Q119" i="6"/>
  <c r="P119" i="6"/>
  <c r="O119" i="6"/>
  <c r="N119" i="6"/>
  <c r="M119" i="6"/>
  <c r="L119" i="6"/>
  <c r="I119" i="6"/>
  <c r="H119" i="6"/>
  <c r="G119" i="6"/>
  <c r="F119" i="6"/>
  <c r="E119" i="6"/>
  <c r="D119" i="6"/>
  <c r="C119" i="6"/>
  <c r="AT118" i="6"/>
  <c r="AK118" i="6"/>
  <c r="AB118" i="6"/>
  <c r="S118" i="6"/>
  <c r="J118" i="6"/>
  <c r="AW117" i="6"/>
  <c r="AV117" i="6"/>
  <c r="AS117" i="6"/>
  <c r="AR117" i="6"/>
  <c r="AQ117" i="6"/>
  <c r="AP117" i="6"/>
  <c r="AO117" i="6"/>
  <c r="AN117" i="6"/>
  <c r="AM117" i="6"/>
  <c r="AJ117" i="6"/>
  <c r="AI117" i="6"/>
  <c r="AH117" i="6"/>
  <c r="AG117" i="6"/>
  <c r="AF117" i="6"/>
  <c r="AE117" i="6"/>
  <c r="AD117" i="6"/>
  <c r="AA117" i="6"/>
  <c r="Z117" i="6"/>
  <c r="Y117" i="6"/>
  <c r="X117" i="6"/>
  <c r="W117" i="6"/>
  <c r="V117" i="6"/>
  <c r="U117" i="6"/>
  <c r="R117" i="6"/>
  <c r="Q117" i="6"/>
  <c r="P117" i="6"/>
  <c r="O117" i="6"/>
  <c r="N117" i="6"/>
  <c r="M117" i="6"/>
  <c r="L117" i="6"/>
  <c r="I117" i="6"/>
  <c r="H117" i="6"/>
  <c r="G117" i="6"/>
  <c r="F117" i="6"/>
  <c r="E117" i="6"/>
  <c r="D117" i="6"/>
  <c r="C117" i="6"/>
  <c r="AW116" i="6"/>
  <c r="AV116" i="6"/>
  <c r="AS116" i="6"/>
  <c r="AR116" i="6"/>
  <c r="AQ116" i="6"/>
  <c r="AP116" i="6"/>
  <c r="AO116" i="6"/>
  <c r="AN116" i="6"/>
  <c r="AM116" i="6"/>
  <c r="AJ116" i="6"/>
  <c r="AI116" i="6"/>
  <c r="AH116" i="6"/>
  <c r="AG116" i="6"/>
  <c r="AF116" i="6"/>
  <c r="AE116" i="6"/>
  <c r="AD116" i="6"/>
  <c r="AA116" i="6"/>
  <c r="Z116" i="6"/>
  <c r="Y116" i="6"/>
  <c r="X116" i="6"/>
  <c r="W116" i="6"/>
  <c r="V116" i="6"/>
  <c r="U116" i="6"/>
  <c r="R116" i="6"/>
  <c r="Q116" i="6"/>
  <c r="P116" i="6"/>
  <c r="O116" i="6"/>
  <c r="N116" i="6"/>
  <c r="M116" i="6"/>
  <c r="L116" i="6"/>
  <c r="I116" i="6"/>
  <c r="H116" i="6"/>
  <c r="G116" i="6"/>
  <c r="F116" i="6"/>
  <c r="E116" i="6"/>
  <c r="D116" i="6"/>
  <c r="C116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W103" i="6"/>
  <c r="AV103" i="6"/>
  <c r="AS103" i="6"/>
  <c r="AR103" i="6"/>
  <c r="AQ103" i="6"/>
  <c r="AP103" i="6"/>
  <c r="AO103" i="6"/>
  <c r="AN103" i="6"/>
  <c r="AM103" i="6"/>
  <c r="AJ103" i="6"/>
  <c r="AI103" i="6"/>
  <c r="AH103" i="6"/>
  <c r="AG103" i="6"/>
  <c r="AF103" i="6"/>
  <c r="AE103" i="6"/>
  <c r="AD103" i="6"/>
  <c r="AA103" i="6"/>
  <c r="Z103" i="6"/>
  <c r="Y103" i="6"/>
  <c r="X103" i="6"/>
  <c r="W103" i="6"/>
  <c r="V103" i="6"/>
  <c r="U103" i="6"/>
  <c r="R103" i="6"/>
  <c r="Q103" i="6"/>
  <c r="P103" i="6"/>
  <c r="O103" i="6"/>
  <c r="N103" i="6"/>
  <c r="M103" i="6"/>
  <c r="L103" i="6"/>
  <c r="I103" i="6"/>
  <c r="H103" i="6"/>
  <c r="G103" i="6"/>
  <c r="F103" i="6"/>
  <c r="E103" i="6"/>
  <c r="D103" i="6"/>
  <c r="C103" i="6"/>
  <c r="AW102" i="6"/>
  <c r="AV102" i="6"/>
  <c r="AS102" i="6"/>
  <c r="AR102" i="6"/>
  <c r="AQ102" i="6"/>
  <c r="AP102" i="6"/>
  <c r="AO102" i="6"/>
  <c r="AN102" i="6"/>
  <c r="AM102" i="6"/>
  <c r="AJ102" i="6"/>
  <c r="AI102" i="6"/>
  <c r="AH102" i="6"/>
  <c r="AG102" i="6"/>
  <c r="AF102" i="6"/>
  <c r="AE102" i="6"/>
  <c r="AD102" i="6"/>
  <c r="AA102" i="6"/>
  <c r="Z102" i="6"/>
  <c r="Y102" i="6"/>
  <c r="X102" i="6"/>
  <c r="W102" i="6"/>
  <c r="V102" i="6"/>
  <c r="AB102" i="6" s="1"/>
  <c r="U102" i="6"/>
  <c r="R102" i="6"/>
  <c r="Q102" i="6"/>
  <c r="P102" i="6"/>
  <c r="O102" i="6"/>
  <c r="N102" i="6"/>
  <c r="M102" i="6"/>
  <c r="L102" i="6"/>
  <c r="S102" i="6" s="1"/>
  <c r="I102" i="6"/>
  <c r="H102" i="6"/>
  <c r="G102" i="6"/>
  <c r="F102" i="6"/>
  <c r="E102" i="6"/>
  <c r="D102" i="6"/>
  <c r="C102" i="6"/>
  <c r="AW101" i="6"/>
  <c r="AV101" i="6"/>
  <c r="AS101" i="6"/>
  <c r="AR101" i="6"/>
  <c r="AQ101" i="6"/>
  <c r="AP101" i="6"/>
  <c r="AO101" i="6"/>
  <c r="AN101" i="6"/>
  <c r="AM101" i="6"/>
  <c r="AJ101" i="6"/>
  <c r="AI101" i="6"/>
  <c r="AH101" i="6"/>
  <c r="AG101" i="6"/>
  <c r="AF101" i="6"/>
  <c r="AE101" i="6"/>
  <c r="AD101" i="6"/>
  <c r="AA101" i="6"/>
  <c r="Z101" i="6"/>
  <c r="Y101" i="6"/>
  <c r="X101" i="6"/>
  <c r="W101" i="6"/>
  <c r="V101" i="6"/>
  <c r="U101" i="6"/>
  <c r="R101" i="6"/>
  <c r="Q101" i="6"/>
  <c r="P101" i="6"/>
  <c r="O101" i="6"/>
  <c r="N101" i="6"/>
  <c r="M101" i="6"/>
  <c r="L101" i="6"/>
  <c r="I101" i="6"/>
  <c r="H101" i="6"/>
  <c r="G101" i="6"/>
  <c r="F101" i="6"/>
  <c r="E101" i="6"/>
  <c r="D101" i="6"/>
  <c r="C101" i="6"/>
  <c r="AT100" i="6"/>
  <c r="AK100" i="6"/>
  <c r="AB100" i="6"/>
  <c r="S100" i="6"/>
  <c r="J100" i="6"/>
  <c r="AW99" i="6"/>
  <c r="AV99" i="6"/>
  <c r="AS99" i="6"/>
  <c r="AR99" i="6"/>
  <c r="AQ99" i="6"/>
  <c r="AP99" i="6"/>
  <c r="AO99" i="6"/>
  <c r="AN99" i="6"/>
  <c r="AM99" i="6"/>
  <c r="AJ99" i="6"/>
  <c r="AI99" i="6"/>
  <c r="AH99" i="6"/>
  <c r="AG99" i="6"/>
  <c r="AF99" i="6"/>
  <c r="AE99" i="6"/>
  <c r="AD99" i="6"/>
  <c r="AA99" i="6"/>
  <c r="Z99" i="6"/>
  <c r="Y99" i="6"/>
  <c r="X99" i="6"/>
  <c r="W99" i="6"/>
  <c r="V99" i="6"/>
  <c r="U99" i="6"/>
  <c r="R99" i="6"/>
  <c r="Q99" i="6"/>
  <c r="P99" i="6"/>
  <c r="O99" i="6"/>
  <c r="N99" i="6"/>
  <c r="M99" i="6"/>
  <c r="L99" i="6"/>
  <c r="I99" i="6"/>
  <c r="H99" i="6"/>
  <c r="G99" i="6"/>
  <c r="F99" i="6"/>
  <c r="E99" i="6"/>
  <c r="D99" i="6"/>
  <c r="C99" i="6"/>
  <c r="AW98" i="6"/>
  <c r="AV98" i="6"/>
  <c r="AS98" i="6"/>
  <c r="AR98" i="6"/>
  <c r="AQ98" i="6"/>
  <c r="AP98" i="6"/>
  <c r="AO98" i="6"/>
  <c r="AN98" i="6"/>
  <c r="AM98" i="6"/>
  <c r="AJ98" i="6"/>
  <c r="AI98" i="6"/>
  <c r="AH98" i="6"/>
  <c r="AG98" i="6"/>
  <c r="AF98" i="6"/>
  <c r="AE98" i="6"/>
  <c r="AD98" i="6"/>
  <c r="AA98" i="6"/>
  <c r="Z98" i="6"/>
  <c r="Y98" i="6"/>
  <c r="X98" i="6"/>
  <c r="W98" i="6"/>
  <c r="V98" i="6"/>
  <c r="U98" i="6"/>
  <c r="R98" i="6"/>
  <c r="Q98" i="6"/>
  <c r="P98" i="6"/>
  <c r="O98" i="6"/>
  <c r="N98" i="6"/>
  <c r="M98" i="6"/>
  <c r="L98" i="6"/>
  <c r="I98" i="6"/>
  <c r="H98" i="6"/>
  <c r="G98" i="6"/>
  <c r="F98" i="6"/>
  <c r="E98" i="6"/>
  <c r="D98" i="6"/>
  <c r="C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W85" i="6"/>
  <c r="AV85" i="6"/>
  <c r="AS85" i="6"/>
  <c r="AR85" i="6"/>
  <c r="AQ85" i="6"/>
  <c r="AP85" i="6"/>
  <c r="AO85" i="6"/>
  <c r="AN85" i="6"/>
  <c r="AM85" i="6"/>
  <c r="AJ85" i="6"/>
  <c r="AI85" i="6"/>
  <c r="AH85" i="6"/>
  <c r="AG85" i="6"/>
  <c r="AF85" i="6"/>
  <c r="AE85" i="6"/>
  <c r="AD85" i="6"/>
  <c r="AA85" i="6"/>
  <c r="Z85" i="6"/>
  <c r="Y85" i="6"/>
  <c r="X85" i="6"/>
  <c r="W85" i="6"/>
  <c r="V85" i="6"/>
  <c r="U85" i="6"/>
  <c r="R85" i="6"/>
  <c r="Q85" i="6"/>
  <c r="P85" i="6"/>
  <c r="O85" i="6"/>
  <c r="N85" i="6"/>
  <c r="M85" i="6"/>
  <c r="L85" i="6"/>
  <c r="I85" i="6"/>
  <c r="H85" i="6"/>
  <c r="G85" i="6"/>
  <c r="F85" i="6"/>
  <c r="E85" i="6"/>
  <c r="D85" i="6"/>
  <c r="C85" i="6"/>
  <c r="AW84" i="6"/>
  <c r="AV84" i="6"/>
  <c r="AS84" i="6"/>
  <c r="AR84" i="6"/>
  <c r="AQ84" i="6"/>
  <c r="AP84" i="6"/>
  <c r="AO84" i="6"/>
  <c r="AN84" i="6"/>
  <c r="AM84" i="6"/>
  <c r="AJ84" i="6"/>
  <c r="AI84" i="6"/>
  <c r="AH84" i="6"/>
  <c r="AG84" i="6"/>
  <c r="AF84" i="6"/>
  <c r="AE84" i="6"/>
  <c r="AD84" i="6"/>
  <c r="AA84" i="6"/>
  <c r="Z84" i="6"/>
  <c r="Y84" i="6"/>
  <c r="X84" i="6"/>
  <c r="W84" i="6"/>
  <c r="V84" i="6"/>
  <c r="U84" i="6"/>
  <c r="R84" i="6"/>
  <c r="Q84" i="6"/>
  <c r="P84" i="6"/>
  <c r="O84" i="6"/>
  <c r="N84" i="6"/>
  <c r="M84" i="6"/>
  <c r="L84" i="6"/>
  <c r="I84" i="6"/>
  <c r="H84" i="6"/>
  <c r="G84" i="6"/>
  <c r="F84" i="6"/>
  <c r="E84" i="6"/>
  <c r="D84" i="6"/>
  <c r="C84" i="6"/>
  <c r="AW83" i="6"/>
  <c r="AV83" i="6"/>
  <c r="AS83" i="6"/>
  <c r="AR83" i="6"/>
  <c r="AQ83" i="6"/>
  <c r="AP83" i="6"/>
  <c r="AO83" i="6"/>
  <c r="AN83" i="6"/>
  <c r="AM83" i="6"/>
  <c r="AJ83" i="6"/>
  <c r="AI83" i="6"/>
  <c r="AH83" i="6"/>
  <c r="AG83" i="6"/>
  <c r="AF83" i="6"/>
  <c r="AE83" i="6"/>
  <c r="AD83" i="6"/>
  <c r="AA83" i="6"/>
  <c r="Z83" i="6"/>
  <c r="Y83" i="6"/>
  <c r="X83" i="6"/>
  <c r="W83" i="6"/>
  <c r="V83" i="6"/>
  <c r="U83" i="6"/>
  <c r="R83" i="6"/>
  <c r="Q83" i="6"/>
  <c r="P83" i="6"/>
  <c r="O83" i="6"/>
  <c r="N83" i="6"/>
  <c r="M83" i="6"/>
  <c r="L83" i="6"/>
  <c r="I83" i="6"/>
  <c r="H83" i="6"/>
  <c r="G83" i="6"/>
  <c r="F83" i="6"/>
  <c r="E83" i="6"/>
  <c r="D83" i="6"/>
  <c r="C83" i="6"/>
  <c r="AT82" i="6"/>
  <c r="AK82" i="6"/>
  <c r="AB82" i="6"/>
  <c r="S82" i="6"/>
  <c r="J82" i="6"/>
  <c r="AW81" i="6"/>
  <c r="AV81" i="6"/>
  <c r="AS81" i="6"/>
  <c r="AR81" i="6"/>
  <c r="AQ81" i="6"/>
  <c r="AP81" i="6"/>
  <c r="AO81" i="6"/>
  <c r="AN81" i="6"/>
  <c r="AM81" i="6"/>
  <c r="AJ81" i="6"/>
  <c r="AI81" i="6"/>
  <c r="AH81" i="6"/>
  <c r="AG81" i="6"/>
  <c r="AF81" i="6"/>
  <c r="AE81" i="6"/>
  <c r="AD81" i="6"/>
  <c r="AA81" i="6"/>
  <c r="Z81" i="6"/>
  <c r="Y81" i="6"/>
  <c r="X81" i="6"/>
  <c r="W81" i="6"/>
  <c r="V81" i="6"/>
  <c r="U81" i="6"/>
  <c r="R81" i="6"/>
  <c r="Q81" i="6"/>
  <c r="P81" i="6"/>
  <c r="O81" i="6"/>
  <c r="N81" i="6"/>
  <c r="M81" i="6"/>
  <c r="L81" i="6"/>
  <c r="I81" i="6"/>
  <c r="H81" i="6"/>
  <c r="G81" i="6"/>
  <c r="F81" i="6"/>
  <c r="E81" i="6"/>
  <c r="D81" i="6"/>
  <c r="C81" i="6"/>
  <c r="AW80" i="6"/>
  <c r="AV80" i="6"/>
  <c r="AS80" i="6"/>
  <c r="AR80" i="6"/>
  <c r="AQ80" i="6"/>
  <c r="AP80" i="6"/>
  <c r="AO80" i="6"/>
  <c r="AN80" i="6"/>
  <c r="AM80" i="6"/>
  <c r="AJ80" i="6"/>
  <c r="AI80" i="6"/>
  <c r="AH80" i="6"/>
  <c r="AG80" i="6"/>
  <c r="AF80" i="6"/>
  <c r="AE80" i="6"/>
  <c r="AD80" i="6"/>
  <c r="AA80" i="6"/>
  <c r="Z80" i="6"/>
  <c r="Y80" i="6"/>
  <c r="X80" i="6"/>
  <c r="W80" i="6"/>
  <c r="V80" i="6"/>
  <c r="U80" i="6"/>
  <c r="R80" i="6"/>
  <c r="Q80" i="6"/>
  <c r="P80" i="6"/>
  <c r="O80" i="6"/>
  <c r="N80" i="6"/>
  <c r="M80" i="6"/>
  <c r="L80" i="6"/>
  <c r="I80" i="6"/>
  <c r="H80" i="6"/>
  <c r="G80" i="6"/>
  <c r="F80" i="6"/>
  <c r="E80" i="6"/>
  <c r="D80" i="6"/>
  <c r="C80" i="6"/>
  <c r="AI67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W67" i="6"/>
  <c r="AV67" i="6"/>
  <c r="AS67" i="6"/>
  <c r="AR67" i="6"/>
  <c r="AQ67" i="6"/>
  <c r="AP67" i="6"/>
  <c r="AO67" i="6"/>
  <c r="AN67" i="6"/>
  <c r="AM67" i="6"/>
  <c r="AJ67" i="6"/>
  <c r="AH67" i="6"/>
  <c r="AG67" i="6"/>
  <c r="AF67" i="6"/>
  <c r="AE67" i="6"/>
  <c r="AD67" i="6"/>
  <c r="AA67" i="6"/>
  <c r="Z67" i="6"/>
  <c r="Y67" i="6"/>
  <c r="X67" i="6"/>
  <c r="W67" i="6"/>
  <c r="V67" i="6"/>
  <c r="U67" i="6"/>
  <c r="R67" i="6"/>
  <c r="Q67" i="6"/>
  <c r="P67" i="6"/>
  <c r="O67" i="6"/>
  <c r="N67" i="6"/>
  <c r="M67" i="6"/>
  <c r="L67" i="6"/>
  <c r="I67" i="6"/>
  <c r="H67" i="6"/>
  <c r="G67" i="6"/>
  <c r="F67" i="6"/>
  <c r="E67" i="6"/>
  <c r="D67" i="6"/>
  <c r="C67" i="6"/>
  <c r="AW66" i="6"/>
  <c r="AV66" i="6"/>
  <c r="AS66" i="6"/>
  <c r="AR66" i="6"/>
  <c r="AQ66" i="6"/>
  <c r="AP66" i="6"/>
  <c r="AO66" i="6"/>
  <c r="AN66" i="6"/>
  <c r="AM66" i="6"/>
  <c r="AJ66" i="6"/>
  <c r="AI66" i="6"/>
  <c r="AH66" i="6"/>
  <c r="AG66" i="6"/>
  <c r="AF66" i="6"/>
  <c r="AE66" i="6"/>
  <c r="AD66" i="6"/>
  <c r="AA66" i="6"/>
  <c r="Z66" i="6"/>
  <c r="Y66" i="6"/>
  <c r="X66" i="6"/>
  <c r="W66" i="6"/>
  <c r="V66" i="6"/>
  <c r="U66" i="6"/>
  <c r="R66" i="6"/>
  <c r="Q66" i="6"/>
  <c r="P66" i="6"/>
  <c r="O66" i="6"/>
  <c r="N66" i="6"/>
  <c r="M66" i="6"/>
  <c r="L66" i="6"/>
  <c r="I66" i="6"/>
  <c r="H66" i="6"/>
  <c r="G66" i="6"/>
  <c r="F66" i="6"/>
  <c r="E66" i="6"/>
  <c r="D66" i="6"/>
  <c r="C66" i="6"/>
  <c r="AW65" i="6"/>
  <c r="AV65" i="6"/>
  <c r="AS65" i="6"/>
  <c r="AR65" i="6"/>
  <c r="AQ65" i="6"/>
  <c r="AP65" i="6"/>
  <c r="AO65" i="6"/>
  <c r="AN65" i="6"/>
  <c r="AM65" i="6"/>
  <c r="AJ65" i="6"/>
  <c r="AI65" i="6"/>
  <c r="AH65" i="6"/>
  <c r="AG65" i="6"/>
  <c r="AF65" i="6"/>
  <c r="AE65" i="6"/>
  <c r="AD65" i="6"/>
  <c r="AA65" i="6"/>
  <c r="Z65" i="6"/>
  <c r="Y65" i="6"/>
  <c r="X65" i="6"/>
  <c r="W65" i="6"/>
  <c r="V65" i="6"/>
  <c r="U65" i="6"/>
  <c r="R65" i="6"/>
  <c r="Q65" i="6"/>
  <c r="P65" i="6"/>
  <c r="O65" i="6"/>
  <c r="N65" i="6"/>
  <c r="M65" i="6"/>
  <c r="L65" i="6"/>
  <c r="I65" i="6"/>
  <c r="H65" i="6"/>
  <c r="G65" i="6"/>
  <c r="F65" i="6"/>
  <c r="E65" i="6"/>
  <c r="D65" i="6"/>
  <c r="C65" i="6"/>
  <c r="AT64" i="6"/>
  <c r="AK64" i="6"/>
  <c r="AB64" i="6"/>
  <c r="S64" i="6"/>
  <c r="J64" i="6"/>
  <c r="AW63" i="6"/>
  <c r="AV63" i="6"/>
  <c r="AS63" i="6"/>
  <c r="AR63" i="6"/>
  <c r="AQ63" i="6"/>
  <c r="AP63" i="6"/>
  <c r="AO63" i="6"/>
  <c r="AN63" i="6"/>
  <c r="AM63" i="6"/>
  <c r="AJ63" i="6"/>
  <c r="AI63" i="6"/>
  <c r="AH63" i="6"/>
  <c r="AG63" i="6"/>
  <c r="AF63" i="6"/>
  <c r="AE63" i="6"/>
  <c r="AD63" i="6"/>
  <c r="AA63" i="6"/>
  <c r="Z63" i="6"/>
  <c r="Y63" i="6"/>
  <c r="X63" i="6"/>
  <c r="W63" i="6"/>
  <c r="V63" i="6"/>
  <c r="U63" i="6"/>
  <c r="R63" i="6"/>
  <c r="Q63" i="6"/>
  <c r="P63" i="6"/>
  <c r="O63" i="6"/>
  <c r="N63" i="6"/>
  <c r="M63" i="6"/>
  <c r="L63" i="6"/>
  <c r="I63" i="6"/>
  <c r="H63" i="6"/>
  <c r="G63" i="6"/>
  <c r="F63" i="6"/>
  <c r="E63" i="6"/>
  <c r="D63" i="6"/>
  <c r="C63" i="6"/>
  <c r="AW62" i="6"/>
  <c r="AV62" i="6"/>
  <c r="AS62" i="6"/>
  <c r="AR62" i="6"/>
  <c r="AQ62" i="6"/>
  <c r="AP62" i="6"/>
  <c r="AO62" i="6"/>
  <c r="AN62" i="6"/>
  <c r="AM62" i="6"/>
  <c r="AJ62" i="6"/>
  <c r="AI62" i="6"/>
  <c r="AH62" i="6"/>
  <c r="AG62" i="6"/>
  <c r="AF62" i="6"/>
  <c r="AE62" i="6"/>
  <c r="AD62" i="6"/>
  <c r="AA62" i="6"/>
  <c r="Z62" i="6"/>
  <c r="Y62" i="6"/>
  <c r="X62" i="6"/>
  <c r="W62" i="6"/>
  <c r="V62" i="6"/>
  <c r="U62" i="6"/>
  <c r="R62" i="6"/>
  <c r="Q62" i="6"/>
  <c r="P62" i="6"/>
  <c r="O62" i="6"/>
  <c r="N62" i="6"/>
  <c r="M62" i="6"/>
  <c r="L62" i="6"/>
  <c r="I62" i="6"/>
  <c r="H62" i="6"/>
  <c r="G62" i="6"/>
  <c r="F62" i="6"/>
  <c r="E62" i="6"/>
  <c r="D62" i="6"/>
  <c r="C62" i="6"/>
  <c r="AR49" i="6"/>
  <c r="AP49" i="6"/>
  <c r="AW48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W49" i="6"/>
  <c r="AV49" i="6"/>
  <c r="AS49" i="6"/>
  <c r="AQ49" i="6"/>
  <c r="AO49" i="6"/>
  <c r="AN49" i="6"/>
  <c r="AM49" i="6"/>
  <c r="AJ49" i="6"/>
  <c r="AI49" i="6"/>
  <c r="AH49" i="6"/>
  <c r="AG49" i="6"/>
  <c r="AF49" i="6"/>
  <c r="AE49" i="6"/>
  <c r="AD49" i="6"/>
  <c r="AA49" i="6"/>
  <c r="Z49" i="6"/>
  <c r="Y49" i="6"/>
  <c r="X49" i="6"/>
  <c r="W49" i="6"/>
  <c r="V49" i="6"/>
  <c r="U49" i="6"/>
  <c r="R49" i="6"/>
  <c r="Q49" i="6"/>
  <c r="P49" i="6"/>
  <c r="O49" i="6"/>
  <c r="N49" i="6"/>
  <c r="M49" i="6"/>
  <c r="L49" i="6"/>
  <c r="I49" i="6"/>
  <c r="H49" i="6"/>
  <c r="G49" i="6"/>
  <c r="F49" i="6"/>
  <c r="E49" i="6"/>
  <c r="D49" i="6"/>
  <c r="J49" i="6" s="1"/>
  <c r="C49" i="6"/>
  <c r="AV48" i="6"/>
  <c r="AS48" i="6"/>
  <c r="AR48" i="6"/>
  <c r="AQ48" i="6"/>
  <c r="AP48" i="6"/>
  <c r="AO48" i="6"/>
  <c r="AN48" i="6"/>
  <c r="AM48" i="6"/>
  <c r="AJ48" i="6"/>
  <c r="AI48" i="6"/>
  <c r="AH48" i="6"/>
  <c r="AG48" i="6"/>
  <c r="AF48" i="6"/>
  <c r="AE48" i="6"/>
  <c r="AD48" i="6"/>
  <c r="AA48" i="6"/>
  <c r="Z48" i="6"/>
  <c r="Y48" i="6"/>
  <c r="X48" i="6"/>
  <c r="W48" i="6"/>
  <c r="V48" i="6"/>
  <c r="U48" i="6"/>
  <c r="R48" i="6"/>
  <c r="Q48" i="6"/>
  <c r="P48" i="6"/>
  <c r="O48" i="6"/>
  <c r="N48" i="6"/>
  <c r="M48" i="6"/>
  <c r="L48" i="6"/>
  <c r="I48" i="6"/>
  <c r="H48" i="6"/>
  <c r="G48" i="6"/>
  <c r="F48" i="6"/>
  <c r="E48" i="6"/>
  <c r="D48" i="6"/>
  <c r="C48" i="6"/>
  <c r="AW47" i="6"/>
  <c r="AV47" i="6"/>
  <c r="AS47" i="6"/>
  <c r="AR47" i="6"/>
  <c r="AQ47" i="6"/>
  <c r="AP47" i="6"/>
  <c r="AO47" i="6"/>
  <c r="AN47" i="6"/>
  <c r="AM47" i="6"/>
  <c r="AJ47" i="6"/>
  <c r="AI47" i="6"/>
  <c r="AH47" i="6"/>
  <c r="AG47" i="6"/>
  <c r="AF47" i="6"/>
  <c r="AE47" i="6"/>
  <c r="AD47" i="6"/>
  <c r="AA47" i="6"/>
  <c r="Z47" i="6"/>
  <c r="Y47" i="6"/>
  <c r="X47" i="6"/>
  <c r="W47" i="6"/>
  <c r="V47" i="6"/>
  <c r="U47" i="6"/>
  <c r="R47" i="6"/>
  <c r="Q47" i="6"/>
  <c r="P47" i="6"/>
  <c r="O47" i="6"/>
  <c r="N47" i="6"/>
  <c r="M47" i="6"/>
  <c r="L47" i="6"/>
  <c r="I47" i="6"/>
  <c r="H47" i="6"/>
  <c r="G47" i="6"/>
  <c r="F47" i="6"/>
  <c r="E47" i="6"/>
  <c r="D47" i="6"/>
  <c r="C47" i="6"/>
  <c r="AT46" i="6"/>
  <c r="AK46" i="6"/>
  <c r="AB46" i="6"/>
  <c r="S46" i="6"/>
  <c r="J46" i="6"/>
  <c r="AW45" i="6"/>
  <c r="AV45" i="6"/>
  <c r="AS45" i="6"/>
  <c r="AR45" i="6"/>
  <c r="AQ45" i="6"/>
  <c r="AP45" i="6"/>
  <c r="AO45" i="6"/>
  <c r="AN45" i="6"/>
  <c r="AM45" i="6"/>
  <c r="AJ45" i="6"/>
  <c r="AI45" i="6"/>
  <c r="AH45" i="6"/>
  <c r="AG45" i="6"/>
  <c r="AF45" i="6"/>
  <c r="AE45" i="6"/>
  <c r="AD45" i="6"/>
  <c r="AA45" i="6"/>
  <c r="Z45" i="6"/>
  <c r="Y45" i="6"/>
  <c r="X45" i="6"/>
  <c r="W45" i="6"/>
  <c r="V45" i="6"/>
  <c r="U45" i="6"/>
  <c r="R45" i="6"/>
  <c r="Q45" i="6"/>
  <c r="P45" i="6"/>
  <c r="O45" i="6"/>
  <c r="N45" i="6"/>
  <c r="M45" i="6"/>
  <c r="L45" i="6"/>
  <c r="I45" i="6"/>
  <c r="H45" i="6"/>
  <c r="G45" i="6"/>
  <c r="F45" i="6"/>
  <c r="E45" i="6"/>
  <c r="D45" i="6"/>
  <c r="C45" i="6"/>
  <c r="AW44" i="6"/>
  <c r="AV44" i="6"/>
  <c r="AS44" i="6"/>
  <c r="AR44" i="6"/>
  <c r="AQ44" i="6"/>
  <c r="AP44" i="6"/>
  <c r="AO44" i="6"/>
  <c r="AN44" i="6"/>
  <c r="AM44" i="6"/>
  <c r="AJ44" i="6"/>
  <c r="AI44" i="6"/>
  <c r="AH44" i="6"/>
  <c r="AG44" i="6"/>
  <c r="AF44" i="6"/>
  <c r="AE44" i="6"/>
  <c r="AD44" i="6"/>
  <c r="AA44" i="6"/>
  <c r="Z44" i="6"/>
  <c r="Y44" i="6"/>
  <c r="X44" i="6"/>
  <c r="W44" i="6"/>
  <c r="V44" i="6"/>
  <c r="U44" i="6"/>
  <c r="R44" i="6"/>
  <c r="Q44" i="6"/>
  <c r="P44" i="6"/>
  <c r="O44" i="6"/>
  <c r="N44" i="6"/>
  <c r="M44" i="6"/>
  <c r="L44" i="6"/>
  <c r="I44" i="6"/>
  <c r="H44" i="6"/>
  <c r="G44" i="6"/>
  <c r="F44" i="6"/>
  <c r="E44" i="6"/>
  <c r="D44" i="6"/>
  <c r="C44" i="6"/>
  <c r="AW30" i="6"/>
  <c r="Z30" i="6"/>
  <c r="Y30" i="6"/>
  <c r="X31" i="6"/>
  <c r="O29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S31" i="6"/>
  <c r="AR31" i="6"/>
  <c r="AQ31" i="6"/>
  <c r="AP31" i="6"/>
  <c r="AO31" i="6"/>
  <c r="AN31" i="6"/>
  <c r="AM31" i="6"/>
  <c r="AJ31" i="6"/>
  <c r="AI31" i="6"/>
  <c r="AH31" i="6"/>
  <c r="AG31" i="6"/>
  <c r="AF31" i="6"/>
  <c r="AE31" i="6"/>
  <c r="AD31" i="6"/>
  <c r="AA31" i="6"/>
  <c r="Z31" i="6"/>
  <c r="Y31" i="6"/>
  <c r="W31" i="6"/>
  <c r="V31" i="6"/>
  <c r="U31" i="6"/>
  <c r="R31" i="6"/>
  <c r="Q31" i="6"/>
  <c r="P31" i="6"/>
  <c r="O31" i="6"/>
  <c r="N31" i="6"/>
  <c r="M31" i="6"/>
  <c r="L31" i="6"/>
  <c r="I31" i="6"/>
  <c r="E31" i="6"/>
  <c r="D31" i="6"/>
  <c r="C31" i="6"/>
  <c r="AV30" i="6"/>
  <c r="AS30" i="6"/>
  <c r="AR30" i="6"/>
  <c r="AQ30" i="6"/>
  <c r="AP30" i="6"/>
  <c r="AO30" i="6"/>
  <c r="AN30" i="6"/>
  <c r="AM30" i="6"/>
  <c r="AJ30" i="6"/>
  <c r="AI30" i="6"/>
  <c r="AH30" i="6"/>
  <c r="AG30" i="6"/>
  <c r="AF30" i="6"/>
  <c r="AE30" i="6"/>
  <c r="AD30" i="6"/>
  <c r="AA30" i="6"/>
  <c r="X30" i="6"/>
  <c r="W30" i="6"/>
  <c r="V30" i="6"/>
  <c r="U30" i="6"/>
  <c r="R30" i="6"/>
  <c r="Q30" i="6"/>
  <c r="P30" i="6"/>
  <c r="O30" i="6"/>
  <c r="N30" i="6"/>
  <c r="M30" i="6"/>
  <c r="L30" i="6"/>
  <c r="I30" i="6"/>
  <c r="D30" i="6"/>
  <c r="C30" i="6"/>
  <c r="AW29" i="6"/>
  <c r="AV29" i="6"/>
  <c r="AS29" i="6"/>
  <c r="AR29" i="6"/>
  <c r="AQ29" i="6"/>
  <c r="AP29" i="6"/>
  <c r="AO29" i="6"/>
  <c r="AN29" i="6"/>
  <c r="AM29" i="6"/>
  <c r="AJ29" i="6"/>
  <c r="AI29" i="6"/>
  <c r="AH29" i="6"/>
  <c r="AG29" i="6"/>
  <c r="AF29" i="6"/>
  <c r="AE29" i="6"/>
  <c r="AD29" i="6"/>
  <c r="AA29" i="6"/>
  <c r="Z29" i="6"/>
  <c r="Y29" i="6"/>
  <c r="X29" i="6"/>
  <c r="W29" i="6"/>
  <c r="V29" i="6"/>
  <c r="U29" i="6"/>
  <c r="R29" i="6"/>
  <c r="Q29" i="6"/>
  <c r="P29" i="6"/>
  <c r="N29" i="6"/>
  <c r="M29" i="6"/>
  <c r="L29" i="6"/>
  <c r="I29" i="6"/>
  <c r="D29" i="6"/>
  <c r="E29" i="6" s="1"/>
  <c r="F29" i="6" s="1"/>
  <c r="G29" i="6" s="1"/>
  <c r="H29" i="6" s="1"/>
  <c r="C29" i="6"/>
  <c r="AT28" i="6"/>
  <c r="AK28" i="6"/>
  <c r="AB28" i="6"/>
  <c r="S28" i="6"/>
  <c r="J28" i="6"/>
  <c r="AW27" i="6"/>
  <c r="AV27" i="6"/>
  <c r="AS27" i="6"/>
  <c r="AR27" i="6"/>
  <c r="AQ27" i="6"/>
  <c r="AP27" i="6"/>
  <c r="AO27" i="6"/>
  <c r="AN27" i="6"/>
  <c r="AM27" i="6"/>
  <c r="AJ27" i="6"/>
  <c r="AI27" i="6"/>
  <c r="AH27" i="6"/>
  <c r="AG27" i="6"/>
  <c r="AF27" i="6"/>
  <c r="AE27" i="6"/>
  <c r="AD27" i="6"/>
  <c r="AA27" i="6"/>
  <c r="Z27" i="6"/>
  <c r="Y27" i="6"/>
  <c r="X27" i="6"/>
  <c r="W27" i="6"/>
  <c r="V27" i="6"/>
  <c r="U27" i="6"/>
  <c r="R27" i="6"/>
  <c r="Q27" i="6"/>
  <c r="P27" i="6"/>
  <c r="O27" i="6"/>
  <c r="N27" i="6"/>
  <c r="M27" i="6"/>
  <c r="L27" i="6"/>
  <c r="I27" i="6"/>
  <c r="H27" i="6"/>
  <c r="G27" i="6"/>
  <c r="F27" i="6"/>
  <c r="E27" i="6"/>
  <c r="D27" i="6"/>
  <c r="C27" i="6"/>
  <c r="AW26" i="6"/>
  <c r="AV26" i="6"/>
  <c r="AS26" i="6"/>
  <c r="AR26" i="6"/>
  <c r="AQ26" i="6"/>
  <c r="AP26" i="6"/>
  <c r="AO26" i="6"/>
  <c r="AN26" i="6"/>
  <c r="AM26" i="6"/>
  <c r="AJ26" i="6"/>
  <c r="AI26" i="6"/>
  <c r="AH26" i="6"/>
  <c r="AG26" i="6"/>
  <c r="AF26" i="6"/>
  <c r="AE26" i="6"/>
  <c r="AD26" i="6"/>
  <c r="AA26" i="6"/>
  <c r="Z26" i="6"/>
  <c r="Y26" i="6"/>
  <c r="X26" i="6"/>
  <c r="W26" i="6"/>
  <c r="V26" i="6"/>
  <c r="U26" i="6"/>
  <c r="R26" i="6"/>
  <c r="Q26" i="6"/>
  <c r="P26" i="6"/>
  <c r="O26" i="6"/>
  <c r="N26" i="6"/>
  <c r="M26" i="6"/>
  <c r="L26" i="6"/>
  <c r="I26" i="6"/>
  <c r="H26" i="6"/>
  <c r="G26" i="6"/>
  <c r="F26" i="6"/>
  <c r="E26" i="6"/>
  <c r="D26" i="6"/>
  <c r="C26" i="6"/>
  <c r="D9" i="6"/>
  <c r="AO11" i="6"/>
  <c r="AP11" i="6" s="1"/>
  <c r="AS11" i="6"/>
  <c r="AS12" i="6"/>
  <c r="AO13" i="6"/>
  <c r="AP13" i="6"/>
  <c r="AQ13" i="6"/>
  <c r="AS13" i="6"/>
  <c r="AN13" i="6"/>
  <c r="AN12" i="6"/>
  <c r="AO12" i="6" s="1"/>
  <c r="AN11" i="6"/>
  <c r="AJ12" i="6"/>
  <c r="AJ13" i="6"/>
  <c r="AH13" i="6"/>
  <c r="AW11" i="6"/>
  <c r="AW13" i="6"/>
  <c r="AW12" i="6"/>
  <c r="AV13" i="6"/>
  <c r="AV12" i="6"/>
  <c r="AV11" i="6"/>
  <c r="AM13" i="6"/>
  <c r="AM12" i="6"/>
  <c r="AM11" i="6"/>
  <c r="AF11" i="6"/>
  <c r="AG11" i="6" s="1"/>
  <c r="AJ11" i="6"/>
  <c r="AF13" i="6"/>
  <c r="AG13" i="6" s="1"/>
  <c r="AE13" i="6"/>
  <c r="AE12" i="6"/>
  <c r="AF12" i="6" s="1"/>
  <c r="AE11" i="6"/>
  <c r="AD13" i="6"/>
  <c r="AD12" i="6"/>
  <c r="AD11" i="6"/>
  <c r="W13" i="6"/>
  <c r="W12" i="6"/>
  <c r="X12" i="6" s="1"/>
  <c r="W11" i="6"/>
  <c r="X11" i="6" s="1"/>
  <c r="AA11" i="6"/>
  <c r="AA12" i="6"/>
  <c r="AA13" i="6"/>
  <c r="V13" i="6"/>
  <c r="V12" i="6"/>
  <c r="V11" i="6"/>
  <c r="U13" i="6"/>
  <c r="U12" i="6"/>
  <c r="U11" i="6"/>
  <c r="N11" i="6"/>
  <c r="O11" i="6" s="1"/>
  <c r="R11" i="6"/>
  <c r="N12" i="6"/>
  <c r="O12" i="6" s="1"/>
  <c r="R12" i="6"/>
  <c r="N13" i="6"/>
  <c r="O13" i="6" s="1"/>
  <c r="R13" i="6"/>
  <c r="M13" i="6"/>
  <c r="M12" i="6"/>
  <c r="M11" i="6"/>
  <c r="L13" i="6"/>
  <c r="L12" i="6"/>
  <c r="L11" i="6"/>
  <c r="AT66" i="6" l="1"/>
  <c r="AX67" i="6"/>
  <c r="AX98" i="6"/>
  <c r="AX138" i="6"/>
  <c r="AX156" i="6"/>
  <c r="AX209" i="6"/>
  <c r="AX193" i="6"/>
  <c r="AX155" i="6"/>
  <c r="AX139" i="6"/>
  <c r="AX120" i="6"/>
  <c r="AX119" i="6"/>
  <c r="AX103" i="6"/>
  <c r="AX83" i="6"/>
  <c r="AX27" i="6"/>
  <c r="AX49" i="6"/>
  <c r="AX47" i="6"/>
  <c r="AX48" i="6"/>
  <c r="AK48" i="6"/>
  <c r="AB48" i="6"/>
  <c r="AX30" i="6"/>
  <c r="AX29" i="6"/>
  <c r="AX170" i="6"/>
  <c r="AT44" i="6"/>
  <c r="AX26" i="6"/>
  <c r="S48" i="6"/>
  <c r="AK66" i="6"/>
  <c r="AX84" i="6"/>
  <c r="S120" i="6"/>
  <c r="AT175" i="6"/>
  <c r="J48" i="6"/>
  <c r="AB66" i="6"/>
  <c r="AX81" i="6"/>
  <c r="AT84" i="6"/>
  <c r="AK103" i="6"/>
  <c r="AK119" i="6"/>
  <c r="J120" i="6"/>
  <c r="AT156" i="6"/>
  <c r="AK209" i="6"/>
  <c r="AX11" i="6"/>
  <c r="S66" i="6"/>
  <c r="AK84" i="6"/>
  <c r="J85" i="6"/>
  <c r="J101" i="6"/>
  <c r="AT121" i="6"/>
  <c r="AK156" i="6"/>
  <c r="AX174" i="6"/>
  <c r="AT192" i="6"/>
  <c r="AK210" i="6"/>
  <c r="AT31" i="6"/>
  <c r="AB47" i="6"/>
  <c r="J66" i="6"/>
  <c r="AB84" i="6"/>
  <c r="AY84" i="6" s="1"/>
  <c r="AK137" i="6"/>
  <c r="AT138" i="6"/>
  <c r="AB156" i="6"/>
  <c r="AK192" i="6"/>
  <c r="AK193" i="6"/>
  <c r="AB210" i="6"/>
  <c r="AK211" i="6"/>
  <c r="AY216" i="6"/>
  <c r="N19" i="10" s="1"/>
  <c r="S84" i="6"/>
  <c r="AT102" i="6"/>
  <c r="AB121" i="6"/>
  <c r="S156" i="6"/>
  <c r="AB192" i="6"/>
  <c r="AX45" i="6"/>
  <c r="AT48" i="6"/>
  <c r="J84" i="6"/>
  <c r="AK102" i="6"/>
  <c r="AX117" i="6"/>
  <c r="AT120" i="6"/>
  <c r="J156" i="6"/>
  <c r="AX173" i="6"/>
  <c r="AB174" i="6"/>
  <c r="S192" i="6"/>
  <c r="J210" i="6"/>
  <c r="S67" i="6"/>
  <c r="S83" i="6"/>
  <c r="J102" i="6"/>
  <c r="AB120" i="6"/>
  <c r="AX188" i="6"/>
  <c r="AY55" i="6"/>
  <c r="E20" i="10" s="1"/>
  <c r="P209" i="6"/>
  <c r="Q209" i="6" s="1"/>
  <c r="S209" i="6" s="1"/>
  <c r="S210" i="6"/>
  <c r="AT206" i="6"/>
  <c r="AT99" i="6"/>
  <c r="AK134" i="6"/>
  <c r="AT189" i="6"/>
  <c r="AT134" i="6"/>
  <c r="AT63" i="6"/>
  <c r="AY199" i="6"/>
  <c r="M20" i="10" s="1"/>
  <c r="AK117" i="6"/>
  <c r="AK207" i="6"/>
  <c r="AY145" i="6"/>
  <c r="J20" i="10" s="1"/>
  <c r="AK153" i="6"/>
  <c r="AB134" i="6"/>
  <c r="S134" i="6"/>
  <c r="AB171" i="6"/>
  <c r="AB80" i="6"/>
  <c r="AY73" i="6"/>
  <c r="F20" i="10" s="1"/>
  <c r="AB27" i="6"/>
  <c r="AY163" i="6"/>
  <c r="K20" i="10" s="1"/>
  <c r="J135" i="6"/>
  <c r="S45" i="6"/>
  <c r="AY127" i="6"/>
  <c r="I20" i="10" s="1"/>
  <c r="S98" i="6"/>
  <c r="S207" i="6"/>
  <c r="AY181" i="6"/>
  <c r="L20" i="10" s="1"/>
  <c r="J116" i="6"/>
  <c r="AY109" i="6"/>
  <c r="H20" i="10" s="1"/>
  <c r="J188" i="6"/>
  <c r="J134" i="6"/>
  <c r="J80" i="6"/>
  <c r="AY91" i="6"/>
  <c r="G20" i="10" s="1"/>
  <c r="S26" i="6"/>
  <c r="AK29" i="6"/>
  <c r="AK30" i="6"/>
  <c r="AT30" i="6"/>
  <c r="J44" i="6"/>
  <c r="J47" i="6"/>
  <c r="AT67" i="6"/>
  <c r="AK81" i="6"/>
  <c r="AT85" i="6"/>
  <c r="AB99" i="6"/>
  <c r="AT101" i="6"/>
  <c r="AT116" i="6"/>
  <c r="S117" i="6"/>
  <c r="J138" i="6"/>
  <c r="S139" i="6"/>
  <c r="AB152" i="6"/>
  <c r="S155" i="6"/>
  <c r="J157" i="6"/>
  <c r="S170" i="6"/>
  <c r="J173" i="6"/>
  <c r="AB175" i="6"/>
  <c r="AT188" i="6"/>
  <c r="J189" i="6"/>
  <c r="AB191" i="6"/>
  <c r="S193" i="6"/>
  <c r="AB206" i="6"/>
  <c r="AB29" i="6"/>
  <c r="AB31" i="6"/>
  <c r="AT45" i="6"/>
  <c r="AK63" i="6"/>
  <c r="AX65" i="6"/>
  <c r="AX80" i="6"/>
  <c r="AB81" i="6"/>
  <c r="AT83" i="6"/>
  <c r="AK85" i="6"/>
  <c r="AT98" i="6"/>
  <c r="S99" i="6"/>
  <c r="AK101" i="6"/>
  <c r="AX102" i="6"/>
  <c r="AB103" i="6"/>
  <c r="AK116" i="6"/>
  <c r="J117" i="6"/>
  <c r="AB119" i="6"/>
  <c r="S121" i="6"/>
  <c r="J139" i="6"/>
  <c r="S152" i="6"/>
  <c r="J155" i="6"/>
  <c r="J170" i="6"/>
  <c r="AT174" i="6"/>
  <c r="S175" i="6"/>
  <c r="AK188" i="6"/>
  <c r="S191" i="6"/>
  <c r="J193" i="6"/>
  <c r="S206" i="6"/>
  <c r="J209" i="6"/>
  <c r="AY213" i="6"/>
  <c r="N16" i="10" s="1"/>
  <c r="AT27" i="6"/>
  <c r="AK45" i="6"/>
  <c r="AX62" i="6"/>
  <c r="AB63" i="6"/>
  <c r="AT65" i="6"/>
  <c r="AT80" i="6"/>
  <c r="S81" i="6"/>
  <c r="AK83" i="6"/>
  <c r="AB85" i="6"/>
  <c r="AK98" i="6"/>
  <c r="J99" i="6"/>
  <c r="AB101" i="6"/>
  <c r="S103" i="6"/>
  <c r="AB116" i="6"/>
  <c r="S119" i="6"/>
  <c r="J121" i="6"/>
  <c r="AX137" i="6"/>
  <c r="J152" i="6"/>
  <c r="AX153" i="6"/>
  <c r="AT171" i="6"/>
  <c r="AK174" i="6"/>
  <c r="J175" i="6"/>
  <c r="AB188" i="6"/>
  <c r="J191" i="6"/>
  <c r="J206" i="6"/>
  <c r="AX207" i="6"/>
  <c r="AK27" i="6"/>
  <c r="AX44" i="6"/>
  <c r="AB45" i="6"/>
  <c r="AK49" i="6"/>
  <c r="AT62" i="6"/>
  <c r="S63" i="6"/>
  <c r="AK65" i="6"/>
  <c r="AX66" i="6"/>
  <c r="AB67" i="6"/>
  <c r="AK80" i="6"/>
  <c r="J81" i="6"/>
  <c r="AB83" i="6"/>
  <c r="S85" i="6"/>
  <c r="AB98" i="6"/>
  <c r="S101" i="6"/>
  <c r="J103" i="6"/>
  <c r="S116" i="6"/>
  <c r="J119" i="6"/>
  <c r="AX134" i="6"/>
  <c r="AT137" i="6"/>
  <c r="AT153" i="6"/>
  <c r="AX157" i="6"/>
  <c r="AK171" i="6"/>
  <c r="S188" i="6"/>
  <c r="AX189" i="6"/>
  <c r="AY215" i="6"/>
  <c r="N18" i="10" s="1"/>
  <c r="AT47" i="6"/>
  <c r="AB49" i="6"/>
  <c r="AK62" i="6"/>
  <c r="J63" i="6"/>
  <c r="AB65" i="6"/>
  <c r="AT26" i="6"/>
  <c r="AX31" i="6"/>
  <c r="AK44" i="6"/>
  <c r="J45" i="6"/>
  <c r="AK47" i="6"/>
  <c r="S49" i="6"/>
  <c r="AB62" i="6"/>
  <c r="S65" i="6"/>
  <c r="J67" i="6"/>
  <c r="S80" i="6"/>
  <c r="J83" i="6"/>
  <c r="J98" i="6"/>
  <c r="AX99" i="6"/>
  <c r="AT117" i="6"/>
  <c r="AX121" i="6"/>
  <c r="AK135" i="6"/>
  <c r="AB137" i="6"/>
  <c r="AK138" i="6"/>
  <c r="AT139" i="6"/>
  <c r="AX152" i="6"/>
  <c r="AB153" i="6"/>
  <c r="AT155" i="6"/>
  <c r="AK157" i="6"/>
  <c r="AT170" i="6"/>
  <c r="S171" i="6"/>
  <c r="AK173" i="6"/>
  <c r="J174" i="6"/>
  <c r="AX175" i="6"/>
  <c r="AK189" i="6"/>
  <c r="AX191" i="6"/>
  <c r="AT193" i="6"/>
  <c r="AX206" i="6"/>
  <c r="AB207" i="6"/>
  <c r="AX210" i="6"/>
  <c r="AB211" i="6"/>
  <c r="AK26" i="6"/>
  <c r="AB44" i="6"/>
  <c r="S62" i="6"/>
  <c r="J65" i="6"/>
  <c r="AB135" i="6"/>
  <c r="S137" i="6"/>
  <c r="AB138" i="6"/>
  <c r="AK139" i="6"/>
  <c r="AT152" i="6"/>
  <c r="S153" i="6"/>
  <c r="AK155" i="6"/>
  <c r="AB157" i="6"/>
  <c r="AK170" i="6"/>
  <c r="J171" i="6"/>
  <c r="AB173" i="6"/>
  <c r="AB189" i="6"/>
  <c r="AT191" i="6"/>
  <c r="S211" i="6"/>
  <c r="AB26" i="6"/>
  <c r="AT29" i="6"/>
  <c r="AK31" i="6"/>
  <c r="S44" i="6"/>
  <c r="S47" i="6"/>
  <c r="J62" i="6"/>
  <c r="AX63" i="6"/>
  <c r="AT81" i="6"/>
  <c r="AX85" i="6"/>
  <c r="AY85" i="6" s="1"/>
  <c r="G14" i="10" s="1"/>
  <c r="AK99" i="6"/>
  <c r="AX101" i="6"/>
  <c r="AT103" i="6"/>
  <c r="AX116" i="6"/>
  <c r="AB117" i="6"/>
  <c r="AT119" i="6"/>
  <c r="AK121" i="6"/>
  <c r="S135" i="6"/>
  <c r="J137" i="6"/>
  <c r="S138" i="6"/>
  <c r="AB139" i="6"/>
  <c r="AK152" i="6"/>
  <c r="J153" i="6"/>
  <c r="AB155" i="6"/>
  <c r="S157" i="6"/>
  <c r="AB170" i="6"/>
  <c r="S173" i="6"/>
  <c r="AY173" i="6" s="1"/>
  <c r="L12" i="10" s="1"/>
  <c r="AK175" i="6"/>
  <c r="S189" i="6"/>
  <c r="AK191" i="6"/>
  <c r="AB193" i="6"/>
  <c r="AK206" i="6"/>
  <c r="J207" i="6"/>
  <c r="AB209" i="6"/>
  <c r="J211" i="6"/>
  <c r="AX211" i="6"/>
  <c r="AY214" i="6"/>
  <c r="N17" i="10" s="1"/>
  <c r="S31" i="6"/>
  <c r="S29" i="6"/>
  <c r="S30" i="6"/>
  <c r="S27" i="6"/>
  <c r="AX12" i="6"/>
  <c r="AX13" i="6"/>
  <c r="AR211" i="6"/>
  <c r="AT207" i="6"/>
  <c r="AO209" i="6"/>
  <c r="AP209" i="6" s="1"/>
  <c r="AO210" i="6"/>
  <c r="AQ211" i="6"/>
  <c r="AY217" i="6"/>
  <c r="N20" i="10" s="1"/>
  <c r="E30" i="6"/>
  <c r="F30" i="6" s="1"/>
  <c r="F31" i="6"/>
  <c r="G31" i="6" s="1"/>
  <c r="AY37" i="6"/>
  <c r="D20" i="10" s="1"/>
  <c r="AY208" i="6"/>
  <c r="N11" i="10" s="1"/>
  <c r="AY198" i="6"/>
  <c r="M19" i="10" s="1"/>
  <c r="AY197" i="6"/>
  <c r="M18" i="10" s="1"/>
  <c r="AY177" i="6"/>
  <c r="L16" i="10" s="1"/>
  <c r="AY190" i="6"/>
  <c r="M11" i="10" s="1"/>
  <c r="AY194" i="6"/>
  <c r="M15" i="10" s="1"/>
  <c r="AY196" i="6"/>
  <c r="M17" i="10" s="1"/>
  <c r="AY195" i="6"/>
  <c r="M16" i="10" s="1"/>
  <c r="AY178" i="6"/>
  <c r="L17" i="10" s="1"/>
  <c r="AY172" i="6"/>
  <c r="L11" i="10" s="1"/>
  <c r="AY180" i="6"/>
  <c r="L19" i="10" s="1"/>
  <c r="AY176" i="6"/>
  <c r="L15" i="10" s="1"/>
  <c r="AY179" i="6"/>
  <c r="L18" i="10" s="1"/>
  <c r="AY118" i="6"/>
  <c r="I11" i="10" s="1"/>
  <c r="AY140" i="6"/>
  <c r="J15" i="10" s="1"/>
  <c r="AY161" i="6"/>
  <c r="K18" i="10" s="1"/>
  <c r="AY154" i="6"/>
  <c r="K11" i="10" s="1"/>
  <c r="AY159" i="6"/>
  <c r="K16" i="10" s="1"/>
  <c r="AY158" i="6"/>
  <c r="K15" i="10" s="1"/>
  <c r="AY160" i="6"/>
  <c r="K17" i="10" s="1"/>
  <c r="AY162" i="6"/>
  <c r="K19" i="10" s="1"/>
  <c r="AY143" i="6"/>
  <c r="J18" i="10" s="1"/>
  <c r="AY144" i="6"/>
  <c r="J19" i="10" s="1"/>
  <c r="AY142" i="6"/>
  <c r="J17" i="10" s="1"/>
  <c r="AY136" i="6"/>
  <c r="J11" i="10" s="1"/>
  <c r="AY141" i="6"/>
  <c r="J16" i="10" s="1"/>
  <c r="AT135" i="6"/>
  <c r="AY126" i="6"/>
  <c r="I19" i="10" s="1"/>
  <c r="AY90" i="6"/>
  <c r="G19" i="10" s="1"/>
  <c r="AY122" i="6"/>
  <c r="I15" i="10" s="1"/>
  <c r="AY124" i="6"/>
  <c r="I17" i="10" s="1"/>
  <c r="AY123" i="6"/>
  <c r="I16" i="10" s="1"/>
  <c r="AY125" i="6"/>
  <c r="I18" i="10" s="1"/>
  <c r="AY100" i="6"/>
  <c r="H11" i="10" s="1"/>
  <c r="AY82" i="6"/>
  <c r="G11" i="10" s="1"/>
  <c r="AY104" i="6"/>
  <c r="H15" i="10" s="1"/>
  <c r="AY105" i="6"/>
  <c r="H16" i="10" s="1"/>
  <c r="AY107" i="6"/>
  <c r="H18" i="10" s="1"/>
  <c r="H5" i="10" s="1"/>
  <c r="AY108" i="6"/>
  <c r="H19" i="10" s="1"/>
  <c r="AY106" i="6"/>
  <c r="H17" i="10" s="1"/>
  <c r="AY88" i="6"/>
  <c r="G17" i="10" s="1"/>
  <c r="AY89" i="6"/>
  <c r="G18" i="10" s="1"/>
  <c r="AY86" i="6"/>
  <c r="G15" i="10" s="1"/>
  <c r="AY87" i="6"/>
  <c r="G16" i="10" s="1"/>
  <c r="AY64" i="6"/>
  <c r="F11" i="10" s="1"/>
  <c r="AY68" i="6"/>
  <c r="F15" i="10" s="1"/>
  <c r="AY70" i="6"/>
  <c r="F17" i="10" s="1"/>
  <c r="AY69" i="6"/>
  <c r="F16" i="10" s="1"/>
  <c r="AY71" i="6"/>
  <c r="F18" i="10" s="1"/>
  <c r="AK67" i="6"/>
  <c r="AY72" i="6"/>
  <c r="F19" i="10" s="1"/>
  <c r="AY33" i="6"/>
  <c r="D16" i="10" s="1"/>
  <c r="AY46" i="6"/>
  <c r="E11" i="10" s="1"/>
  <c r="AY50" i="6"/>
  <c r="E15" i="10" s="1"/>
  <c r="AY53" i="6"/>
  <c r="E18" i="10" s="1"/>
  <c r="AY54" i="6"/>
  <c r="E19" i="10" s="1"/>
  <c r="AY52" i="6"/>
  <c r="E17" i="10" s="1"/>
  <c r="AT49" i="6"/>
  <c r="AY51" i="6"/>
  <c r="E16" i="10" s="1"/>
  <c r="AY35" i="6"/>
  <c r="D18" i="10" s="1"/>
  <c r="AY28" i="6"/>
  <c r="D11" i="10" s="1"/>
  <c r="AB30" i="6"/>
  <c r="J27" i="6"/>
  <c r="J29" i="6"/>
  <c r="J26" i="6"/>
  <c r="AY34" i="6"/>
  <c r="D17" i="10" s="1"/>
  <c r="AY36" i="6"/>
  <c r="D19" i="10" s="1"/>
  <c r="AR13" i="6"/>
  <c r="AQ11" i="6"/>
  <c r="AR11" i="6" s="1"/>
  <c r="AP12" i="6"/>
  <c r="AQ12" i="6" s="1"/>
  <c r="AR12" i="6" s="1"/>
  <c r="AI13" i="6"/>
  <c r="AH11" i="6"/>
  <c r="AI11" i="6" s="1"/>
  <c r="AK11" i="6" s="1"/>
  <c r="AG12" i="6"/>
  <c r="X13" i="6"/>
  <c r="Y13" i="6" s="1"/>
  <c r="Y12" i="6"/>
  <c r="Z12" i="6" s="1"/>
  <c r="Y11" i="6"/>
  <c r="Z11" i="6" s="1"/>
  <c r="P13" i="6"/>
  <c r="Q13" i="6" s="1"/>
  <c r="P12" i="6"/>
  <c r="Q12" i="6" s="1"/>
  <c r="P11" i="6"/>
  <c r="Q11" i="6" s="1"/>
  <c r="J19" i="6"/>
  <c r="AT19" i="6"/>
  <c r="AT18" i="6"/>
  <c r="AT17" i="6"/>
  <c r="AT16" i="6"/>
  <c r="AT15" i="6"/>
  <c r="AT14" i="6"/>
  <c r="AT10" i="6"/>
  <c r="AK19" i="6"/>
  <c r="AK18" i="6"/>
  <c r="AK17" i="6"/>
  <c r="AK16" i="6"/>
  <c r="AK15" i="6"/>
  <c r="AK14" i="6"/>
  <c r="AK10" i="6"/>
  <c r="AB19" i="6"/>
  <c r="AB18" i="6"/>
  <c r="AB17" i="6"/>
  <c r="AB16" i="6"/>
  <c r="AB15" i="6"/>
  <c r="AB14" i="6"/>
  <c r="AB10" i="6"/>
  <c r="S19" i="6"/>
  <c r="S18" i="6"/>
  <c r="S17" i="6"/>
  <c r="S16" i="6"/>
  <c r="S15" i="6"/>
  <c r="S14" i="6"/>
  <c r="S10" i="6"/>
  <c r="AW9" i="6"/>
  <c r="AV9" i="6"/>
  <c r="AS9" i="6"/>
  <c r="AR9" i="6"/>
  <c r="AQ9" i="6"/>
  <c r="AP9" i="6"/>
  <c r="AO9" i="6"/>
  <c r="AN9" i="6"/>
  <c r="AM9" i="6"/>
  <c r="AJ9" i="6"/>
  <c r="AI9" i="6"/>
  <c r="AH9" i="6"/>
  <c r="AG9" i="6"/>
  <c r="AF9" i="6"/>
  <c r="AE9" i="6"/>
  <c r="AD9" i="6"/>
  <c r="AA9" i="6"/>
  <c r="Z9" i="6"/>
  <c r="Y9" i="6"/>
  <c r="X9" i="6"/>
  <c r="W9" i="6"/>
  <c r="V9" i="6"/>
  <c r="U9" i="6"/>
  <c r="R9" i="6"/>
  <c r="Q9" i="6"/>
  <c r="P9" i="6"/>
  <c r="O9" i="6"/>
  <c r="N9" i="6"/>
  <c r="M9" i="6"/>
  <c r="L9" i="6"/>
  <c r="E9" i="6"/>
  <c r="F9" i="6"/>
  <c r="G9" i="6"/>
  <c r="H9" i="6"/>
  <c r="I9" i="6"/>
  <c r="C9" i="6"/>
  <c r="AT211" i="6" l="1"/>
  <c r="AY192" i="6"/>
  <c r="AY193" i="6"/>
  <c r="M14" i="10" s="1"/>
  <c r="AY156" i="6"/>
  <c r="K13" i="10" s="1"/>
  <c r="AY157" i="6"/>
  <c r="K14" i="10" s="1"/>
  <c r="AY137" i="6"/>
  <c r="J12" i="10" s="1"/>
  <c r="AY119" i="6"/>
  <c r="I12" i="10" s="1"/>
  <c r="AY101" i="6"/>
  <c r="H12" i="10" s="1"/>
  <c r="AY103" i="6"/>
  <c r="H14" i="10" s="1"/>
  <c r="AY120" i="6"/>
  <c r="I13" i="10" s="1"/>
  <c r="AY191" i="6"/>
  <c r="M12" i="10" s="1"/>
  <c r="AY175" i="6"/>
  <c r="L14" i="10" s="1"/>
  <c r="AY139" i="6"/>
  <c r="J14" i="10" s="1"/>
  <c r="AY102" i="6"/>
  <c r="H13" i="10" s="1"/>
  <c r="AY65" i="6"/>
  <c r="F12" i="10" s="1"/>
  <c r="AY66" i="6"/>
  <c r="F13" i="10" s="1"/>
  <c r="AY48" i="6"/>
  <c r="AY49" i="6"/>
  <c r="E14" i="10" s="1"/>
  <c r="AX9" i="6"/>
  <c r="AY121" i="6"/>
  <c r="I14" i="10" s="1"/>
  <c r="AY138" i="6"/>
  <c r="J13" i="10" s="1"/>
  <c r="AY47" i="6"/>
  <c r="E12" i="10" s="1"/>
  <c r="AY174" i="6"/>
  <c r="L13" i="10" s="1"/>
  <c r="AY83" i="6"/>
  <c r="G12" i="10" s="1"/>
  <c r="AY63" i="6"/>
  <c r="F10" i="10" s="1"/>
  <c r="AY155" i="6"/>
  <c r="K12" i="10" s="1"/>
  <c r="AY134" i="6"/>
  <c r="J9" i="10" s="1"/>
  <c r="AY81" i="6"/>
  <c r="G10" i="10" s="1"/>
  <c r="AY62" i="6"/>
  <c r="F9" i="10" s="1"/>
  <c r="AY26" i="6"/>
  <c r="D9" i="10" s="1"/>
  <c r="AY189" i="6"/>
  <c r="M10" i="10" s="1"/>
  <c r="AY171" i="6"/>
  <c r="L10" i="10" s="1"/>
  <c r="AY206" i="6"/>
  <c r="N9" i="10" s="1"/>
  <c r="AY153" i="6"/>
  <c r="K10" i="10" s="1"/>
  <c r="AY117" i="6"/>
  <c r="I10" i="10" s="1"/>
  <c r="AY80" i="6"/>
  <c r="G9" i="10" s="1"/>
  <c r="AY116" i="6"/>
  <c r="I9" i="10" s="1"/>
  <c r="AY135" i="6"/>
  <c r="J10" i="10" s="1"/>
  <c r="AY99" i="6"/>
  <c r="H10" i="10" s="1"/>
  <c r="AY170" i="6"/>
  <c r="L9" i="10" s="1"/>
  <c r="AY188" i="6"/>
  <c r="M9" i="10" s="1"/>
  <c r="AY45" i="6"/>
  <c r="E10" i="10" s="1"/>
  <c r="AY98" i="6"/>
  <c r="H9" i="10" s="1"/>
  <c r="AY44" i="6"/>
  <c r="E9" i="10" s="1"/>
  <c r="I5" i="10"/>
  <c r="J5" i="10" s="1"/>
  <c r="K5" i="10" s="1"/>
  <c r="L5" i="10" s="1"/>
  <c r="M5" i="10" s="1"/>
  <c r="N5" i="10" s="1"/>
  <c r="P5" i="10" s="1"/>
  <c r="AY152" i="6"/>
  <c r="K9" i="10" s="1"/>
  <c r="G13" i="10"/>
  <c r="AZ77" i="6"/>
  <c r="G21" i="10" s="1"/>
  <c r="E13" i="10"/>
  <c r="AQ210" i="6"/>
  <c r="AR210" i="6" s="1"/>
  <c r="AY207" i="6"/>
  <c r="N10" i="10" s="1"/>
  <c r="AY212" i="6"/>
  <c r="N15" i="10" s="1"/>
  <c r="AP210" i="6"/>
  <c r="AQ209" i="6"/>
  <c r="AR209" i="6" s="1"/>
  <c r="G30" i="6"/>
  <c r="H31" i="6"/>
  <c r="J31" i="6" s="1"/>
  <c r="AY31" i="6" s="1"/>
  <c r="D14" i="10" s="1"/>
  <c r="AY29" i="6"/>
  <c r="D12" i="10" s="1"/>
  <c r="AY67" i="6"/>
  <c r="F14" i="10" s="1"/>
  <c r="AY32" i="6"/>
  <c r="D15" i="10" s="1"/>
  <c r="AY27" i="6"/>
  <c r="D10" i="10" s="1"/>
  <c r="AY19" i="6"/>
  <c r="C20" i="10" s="1"/>
  <c r="AT9" i="6"/>
  <c r="AK9" i="6"/>
  <c r="AK13" i="6"/>
  <c r="AH12" i="6"/>
  <c r="AI12" i="6" s="1"/>
  <c r="Z13" i="6"/>
  <c r="AB9" i="6"/>
  <c r="S9" i="6"/>
  <c r="S13" i="6"/>
  <c r="AZ185" i="6" l="1"/>
  <c r="M21" i="10" s="1"/>
  <c r="M13" i="10"/>
  <c r="AZ149" i="6"/>
  <c r="K21" i="10" s="1"/>
  <c r="AZ95" i="6"/>
  <c r="H21" i="10" s="1"/>
  <c r="AZ167" i="6"/>
  <c r="L21" i="10" s="1"/>
  <c r="AZ131" i="6"/>
  <c r="J21" i="10" s="1"/>
  <c r="AZ41" i="6"/>
  <c r="E21" i="10" s="1"/>
  <c r="AZ113" i="6"/>
  <c r="I21" i="10" s="1"/>
  <c r="P20" i="10"/>
  <c r="AZ59" i="6"/>
  <c r="F21" i="10" s="1"/>
  <c r="AT209" i="6"/>
  <c r="AY211" i="6"/>
  <c r="N14" i="10" s="1"/>
  <c r="AT210" i="6"/>
  <c r="H30" i="6"/>
  <c r="J30" i="6" s="1"/>
  <c r="AY30" i="6" s="1"/>
  <c r="AT11" i="6"/>
  <c r="AK12" i="6"/>
  <c r="S12" i="6"/>
  <c r="S11" i="6"/>
  <c r="D13" i="10" l="1"/>
  <c r="AZ23" i="6"/>
  <c r="D21" i="10" s="1"/>
  <c r="AY210" i="6"/>
  <c r="AY209" i="6"/>
  <c r="N12" i="10" s="1"/>
  <c r="AT13" i="6"/>
  <c r="AB13" i="6"/>
  <c r="AV6" i="6"/>
  <c r="J9" i="6"/>
  <c r="J10" i="6"/>
  <c r="J11" i="6"/>
  <c r="J12" i="6"/>
  <c r="J13" i="6"/>
  <c r="J14" i="6"/>
  <c r="AY14" i="6" s="1"/>
  <c r="C15" i="10" s="1"/>
  <c r="P15" i="10" s="1"/>
  <c r="J15" i="6"/>
  <c r="J16" i="6"/>
  <c r="J17" i="6"/>
  <c r="J18" i="6"/>
  <c r="AY18" i="6" s="1"/>
  <c r="C19" i="10" s="1"/>
  <c r="C8" i="10" s="1"/>
  <c r="D8" i="10" s="1"/>
  <c r="E8" i="10" s="1"/>
  <c r="F8" i="10" s="1"/>
  <c r="G8" i="10" s="1"/>
  <c r="H8" i="10" s="1"/>
  <c r="I8" i="10" s="1"/>
  <c r="J8" i="10" s="1"/>
  <c r="K8" i="10" s="1"/>
  <c r="L8" i="10" s="1"/>
  <c r="M8" i="10" s="1"/>
  <c r="N8" i="10" s="1"/>
  <c r="AZ203" i="6" l="1"/>
  <c r="N21" i="10" s="1"/>
  <c r="N13" i="10"/>
  <c r="P8" i="10"/>
  <c r="P19" i="10"/>
  <c r="AY13" i="6"/>
  <c r="C14" i="10" s="1"/>
  <c r="P14" i="10" s="1"/>
  <c r="AB12" i="6"/>
  <c r="AY10" i="6"/>
  <c r="C11" i="10" s="1"/>
  <c r="P11" i="10" s="1"/>
  <c r="AY17" i="6"/>
  <c r="C18" i="10" s="1"/>
  <c r="AY16" i="6"/>
  <c r="C17" i="10" s="1"/>
  <c r="AY15" i="6"/>
  <c r="C16" i="10" s="1"/>
  <c r="P16" i="10" s="1"/>
  <c r="AY9" i="6"/>
  <c r="C10" i="10" s="1"/>
  <c r="P10" i="10" s="1"/>
  <c r="D8" i="6"/>
  <c r="E8" i="6"/>
  <c r="F8" i="6"/>
  <c r="G8" i="6"/>
  <c r="H8" i="6"/>
  <c r="I8" i="6"/>
  <c r="L8" i="6"/>
  <c r="M8" i="6"/>
  <c r="N8" i="6"/>
  <c r="O8" i="6"/>
  <c r="P8" i="6"/>
  <c r="Q8" i="6"/>
  <c r="R8" i="6"/>
  <c r="U8" i="6"/>
  <c r="V8" i="6"/>
  <c r="W8" i="6"/>
  <c r="X8" i="6"/>
  <c r="Y8" i="6"/>
  <c r="Z8" i="6"/>
  <c r="AA8" i="6"/>
  <c r="AD8" i="6"/>
  <c r="AE8" i="6"/>
  <c r="AF8" i="6"/>
  <c r="AG8" i="6"/>
  <c r="AH8" i="6"/>
  <c r="AI8" i="6"/>
  <c r="AJ8" i="6"/>
  <c r="AM8" i="6"/>
  <c r="AN8" i="6"/>
  <c r="AO8" i="6"/>
  <c r="AP8" i="6"/>
  <c r="AQ8" i="6"/>
  <c r="AR8" i="6"/>
  <c r="AS8" i="6"/>
  <c r="AV8" i="6"/>
  <c r="AW8" i="6"/>
  <c r="AT8" i="6" l="1"/>
  <c r="C7" i="10"/>
  <c r="D7" i="10" s="1"/>
  <c r="E7" i="10" s="1"/>
  <c r="F7" i="10" s="1"/>
  <c r="G7" i="10" s="1"/>
  <c r="H7" i="10" s="1"/>
  <c r="I7" i="10" s="1"/>
  <c r="J7" i="10" s="1"/>
  <c r="K7" i="10" s="1"/>
  <c r="L7" i="10" s="1"/>
  <c r="M7" i="10" s="1"/>
  <c r="N7" i="10" s="1"/>
  <c r="P7" i="10" s="1"/>
  <c r="AX8" i="6"/>
  <c r="AK8" i="6"/>
  <c r="AB8" i="6"/>
  <c r="S8" i="6"/>
  <c r="P17" i="10"/>
  <c r="P18" i="10"/>
  <c r="C6" i="10"/>
  <c r="D6" i="10" s="1"/>
  <c r="E6" i="10" s="1"/>
  <c r="F6" i="10" s="1"/>
  <c r="P6" i="10" s="1"/>
  <c r="J8" i="6"/>
  <c r="AW204" i="6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F204" i="6"/>
  <c r="E204" i="6"/>
  <c r="D204" i="6"/>
  <c r="C204" i="6"/>
  <c r="AW186" i="6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H202" i="6"/>
  <c r="H184" i="6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H166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H148" i="6"/>
  <c r="AW132" i="6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R132" i="6"/>
  <c r="Q132" i="6"/>
  <c r="P132" i="6"/>
  <c r="O132" i="6"/>
  <c r="N132" i="6"/>
  <c r="M132" i="6"/>
  <c r="L132" i="6"/>
  <c r="AA132" i="6"/>
  <c r="Z132" i="6"/>
  <c r="Y132" i="6"/>
  <c r="X132" i="6"/>
  <c r="W132" i="6"/>
  <c r="V132" i="6"/>
  <c r="U132" i="6"/>
  <c r="I132" i="6"/>
  <c r="H132" i="6"/>
  <c r="G132" i="6"/>
  <c r="F132" i="6"/>
  <c r="E132" i="6"/>
  <c r="D132" i="6"/>
  <c r="C132" i="6"/>
  <c r="AY8" i="6" l="1"/>
  <c r="C9" i="10" s="1"/>
  <c r="P9" i="10" s="1"/>
  <c r="AT12" i="6"/>
  <c r="AB11" i="6"/>
  <c r="AY11" i="6" s="1"/>
  <c r="C12" i="10" s="1"/>
  <c r="P12" i="10" s="1"/>
  <c r="H130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Y12" i="6" l="1"/>
  <c r="H112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H94" i="6"/>
  <c r="AW78" i="6"/>
  <c r="AV78" i="6"/>
  <c r="AS78" i="6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H76" i="6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H58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H40" i="6"/>
  <c r="AW24" i="6"/>
  <c r="AV24" i="6"/>
  <c r="AS24" i="6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H22" i="6"/>
  <c r="AW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C13" i="10" l="1"/>
  <c r="P13" i="10" s="1"/>
  <c r="AZ5" i="6"/>
  <c r="C21" i="10" s="1"/>
  <c r="BA5" i="6" l="1"/>
  <c r="BA23" i="6" s="1"/>
  <c r="C22" i="10" l="1"/>
  <c r="BA41" i="6"/>
  <c r="D22" i="10"/>
  <c r="BA59" i="6" l="1"/>
  <c r="E22" i="10"/>
  <c r="BA77" i="6" l="1"/>
  <c r="F22" i="10"/>
  <c r="F6" i="6"/>
  <c r="H6" i="6"/>
  <c r="H4" i="6"/>
  <c r="C6" i="6"/>
  <c r="E6" i="6"/>
  <c r="I6" i="6"/>
  <c r="G6" i="6"/>
  <c r="D6" i="6"/>
  <c r="BA95" i="6" l="1"/>
  <c r="G22" i="10"/>
  <c r="BA113" i="6" l="1"/>
  <c r="H22" i="10"/>
  <c r="BA131" i="6" l="1"/>
  <c r="I22" i="10"/>
  <c r="BA149" i="6" l="1"/>
  <c r="J22" i="10"/>
  <c r="BA167" i="6" l="1"/>
  <c r="K22" i="10"/>
  <c r="BA185" i="6" l="1"/>
  <c r="L22" i="10"/>
  <c r="BA203" i="6" l="1"/>
  <c r="N22" i="10" s="1"/>
  <c r="P22" i="10" s="1"/>
  <c r="M22" i="10"/>
</calcChain>
</file>

<file path=xl/sharedStrings.xml><?xml version="1.0" encoding="utf-8"?>
<sst xmlns="http://schemas.openxmlformats.org/spreadsheetml/2006/main" count="1586" uniqueCount="85">
  <si>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</si>
  <si>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</si>
  <si>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</si>
  <si>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</si>
  <si>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</si>
  <si>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</si>
  <si>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</si>
  <si>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</si>
  <si>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</si>
  <si>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</si>
  <si>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</si>
  <si>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</si>
  <si>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</si>
  <si>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Lun</t>
  </si>
  <si>
    <t>Mar</t>
  </si>
  <si>
    <t>Mer</t>
  </si>
  <si>
    <t>Jeu</t>
  </si>
  <si>
    <t>Ven</t>
  </si>
  <si>
    <t>Sam</t>
  </si>
  <si>
    <t>Dim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</si>
  <si>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</si>
  <si>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</si>
  <si>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</si>
  <si>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</si>
  <si>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</si>
  <si>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</si>
  <si>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</si>
  <si>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</si>
  <si>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</si>
  <si>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</si>
  <si>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</si>
  <si>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</si>
  <si>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</si>
  <si>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</si>
  <si>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</si>
  <si>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</si>
  <si>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</si>
  <si>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</si>
  <si>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</si>
  <si>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</si>
  <si>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</si>
  <si>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</si>
  <si>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</si>
  <si>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</si>
  <si>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</si>
  <si>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</si>
  <si>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</si>
  <si>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</si>
  <si>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</si>
  <si>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</si>
  <si>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</si>
  <si>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</si>
  <si>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</si>
  <si>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</si>
  <si>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</si>
  <si>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</si>
  <si>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</si>
  <si>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</si>
  <si>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c4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</si>
  <si>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</si>
  <si>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</si>
  <si>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</si>
  <si>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</si>
  <si>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</si>
  <si>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</si>
  <si>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</si>
  <si>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</si>
  <si>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</si>
  <si>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</si>
  <si>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</si>
  <si>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</si>
  <si>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</si>
  <si>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</si>
  <si>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</si>
  <si>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</si>
  <si>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</si>
  <si>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</si>
  <si>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</t>
  </si>
  <si>
    <t>c2</t>
  </si>
  <si>
    <t>c3</t>
  </si>
  <si>
    <t>c1 : matin LMM</t>
  </si>
  <si>
    <t>c2 : nuit</t>
  </si>
  <si>
    <t>C3 : matin LJV</t>
  </si>
  <si>
    <t>C4 : am</t>
  </si>
  <si>
    <t>SI(C7="c1";2;SI(C7="c3";2;""))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</si>
</sst>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m"/>
  </numFmts>
  <fonts count="22" x14ac:knownFonts="1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sz val="10"/>
      <name val="Century Gothic"/>
      <family val="2"/>
    </font>
    <font>
      <b/>
      <sz val="28"/>
      <color theme="1" tint="0.34998626667073579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1"/>
      <name val="Cambria"/>
      <family val="1"/>
      <scheme val="minor"/>
    </font>
    <font>
      <sz val="28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b/>
      <sz val="11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u/>
      <sz val="12"/>
      <name val="Cambria"/>
      <family val="2"/>
      <scheme val="minor"/>
    </font>
    <font>
      <i/>
      <sz val="11"/>
      <color rgb="FF7F7F7F"/>
      <name val="Cambria"/>
      <family val="2"/>
      <scheme val="minor"/>
    </font>
    <font>
      <sz val="1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7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5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01">
    <xf numFmtId="0" fontId="0" fillId="0" borderId="0" xfId="0"/>
    <xf numFmtId="165" fontId="8" fillId="0" borderId="0" xfId="0" applyNumberFormat="1" applyFont="1" applyFill="1" applyBorder="1" applyAlignment="1">
      <alignment vertical="center" textRotation="90"/>
    </xf>
    <xf numFmtId="0" fontId="2" fillId="0" borderId="0" xfId="1" applyFont="1"/>
    <xf numFmtId="0" fontId="9" fillId="0" borderId="0" xfId="1" applyFont="1"/>
    <xf numFmtId="0" fontId="4" fillId="0" borderId="0" xfId="1" applyNumberFormat="1" applyFont="1"/>
    <xf numFmtId="165" fontId="8" fillId="0" borderId="0" xfId="0" applyNumberFormat="1" applyFont="1" applyFill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11" fillId="0" borderId="0" xfId="1" applyFont="1"/>
    <xf numFmtId="0" fontId="11" fillId="0" borderId="0" xfId="1" applyNumberFormat="1" applyFont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13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164" fontId="10" fillId="0" borderId="0" xfId="1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/>
    <xf numFmtId="0" fontId="2" fillId="0" borderId="0" xfId="1" applyFont="1" applyBorder="1" applyAlignment="1">
      <alignment horizontal="center"/>
    </xf>
    <xf numFmtId="2" fontId="10" fillId="0" borderId="0" xfId="1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top" wrapText="1"/>
    </xf>
    <xf numFmtId="0" fontId="2" fillId="0" borderId="0" xfId="1" applyFont="1" applyFill="1" applyAlignment="1"/>
    <xf numFmtId="0" fontId="2" fillId="0" borderId="0" xfId="1" applyFont="1" applyFill="1"/>
    <xf numFmtId="164" fontId="10" fillId="0" borderId="0" xfId="1" applyNumberFormat="1" applyFont="1" applyFill="1" applyBorder="1" applyAlignment="1">
      <alignment horizontal="left" vertical="top" wrapText="1"/>
    </xf>
    <xf numFmtId="0" fontId="10" fillId="0" borderId="0" xfId="1" applyNumberFormat="1" applyFont="1" applyFill="1" applyBorder="1" applyAlignment="1">
      <alignment horizontal="left" vertical="top" wrapText="1"/>
    </xf>
    <xf numFmtId="0" fontId="11" fillId="0" borderId="0" xfId="1" applyFont="1" applyFill="1" applyBorder="1"/>
    <xf numFmtId="49" fontId="14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vertical="center"/>
    </xf>
    <xf numFmtId="0" fontId="15" fillId="0" borderId="0" xfId="0" applyFont="1"/>
    <xf numFmtId="49" fontId="9" fillId="0" borderId="0" xfId="1" applyNumberFormat="1" applyFont="1" applyBorder="1" applyAlignment="1">
      <alignment vertical="center"/>
    </xf>
    <xf numFmtId="49" fontId="9" fillId="0" borderId="0" xfId="1" applyNumberFormat="1" applyFont="1" applyBorder="1" applyAlignment="1">
      <alignment horizontal="center" vertical="center"/>
    </xf>
    <xf numFmtId="0" fontId="17" fillId="0" borderId="0" xfId="0" applyFont="1"/>
    <xf numFmtId="165" fontId="11" fillId="0" borderId="0" xfId="0" applyNumberFormat="1" applyFont="1" applyFill="1" applyBorder="1" applyAlignment="1">
      <alignment vertical="center" textRotation="90"/>
    </xf>
    <xf numFmtId="0" fontId="11" fillId="0" borderId="0" xfId="0" applyFont="1"/>
    <xf numFmtId="0" fontId="10" fillId="0" borderId="0" xfId="1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0" applyNumberFormat="1" applyFont="1"/>
    <xf numFmtId="0" fontId="11" fillId="0" borderId="0" xfId="0" applyNumberFormat="1" applyFont="1" applyBorder="1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/>
    <xf numFmtId="0" fontId="10" fillId="0" borderId="0" xfId="3" applyNumberFormat="1" applyFont="1" applyFill="1" applyBorder="1" applyAlignment="1">
      <alignment horizontal="center" vertical="top" wrapText="1"/>
    </xf>
    <xf numFmtId="0" fontId="10" fillId="5" borderId="0" xfId="0" applyFont="1" applyFill="1" applyBorder="1"/>
    <xf numFmtId="164" fontId="10" fillId="5" borderId="0" xfId="1" applyNumberFormat="1" applyFont="1" applyFill="1" applyBorder="1" applyAlignment="1">
      <alignment horizontal="left" vertical="top" wrapText="1"/>
    </xf>
    <xf numFmtId="164" fontId="18" fillId="0" borderId="0" xfId="1" applyNumberFormat="1" applyFont="1" applyFill="1" applyBorder="1" applyAlignment="1">
      <alignment horizontal="left" vertical="top" wrapText="1"/>
    </xf>
    <xf numFmtId="165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3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/>
    <xf numFmtId="0" fontId="11" fillId="0" borderId="0" xfId="1" applyNumberFormat="1" applyFont="1" applyFill="1" applyBorder="1" applyAlignment="1">
      <alignment horizontal="center"/>
    </xf>
    <xf numFmtId="164" fontId="18" fillId="0" borderId="0" xfId="1" applyNumberFormat="1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1" fillId="0" borderId="0" xfId="1" applyNumberFormat="1" applyFont="1" applyAlignment="1">
      <alignment horizont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center" vertical="top" wrapText="1"/>
    </xf>
    <xf numFmtId="0" fontId="11" fillId="0" borderId="0" xfId="1" applyNumberFormat="1" applyFont="1" applyFill="1" applyBorder="1" applyAlignment="1">
      <alignment horizontal="center" vertical="top" wrapText="1"/>
    </xf>
    <xf numFmtId="2" fontId="10" fillId="0" borderId="0" xfId="1" applyNumberFormat="1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top" wrapText="1"/>
    </xf>
    <xf numFmtId="0" fontId="9" fillId="0" borderId="0" xfId="1" applyFont="1" applyFill="1" applyBorder="1"/>
    <xf numFmtId="0" fontId="19" fillId="0" borderId="0" xfId="5" applyFont="1" applyFill="1" applyBorder="1"/>
    <xf numFmtId="0" fontId="0" fillId="0" borderId="0" xfId="0" applyAlignment="1">
      <alignment horizontal="center"/>
    </xf>
    <xf numFmtId="164" fontId="10" fillId="0" borderId="0" xfId="1" applyNumberFormat="1" applyFont="1" applyFill="1" applyBorder="1" applyAlignment="1">
      <alignment vertical="top" wrapText="1"/>
    </xf>
    <xf numFmtId="0" fontId="10" fillId="4" borderId="0" xfId="1" applyNumberFormat="1" applyFont="1" applyFill="1" applyBorder="1" applyAlignment="1">
      <alignment horizontal="center" vertical="top" wrapText="1"/>
    </xf>
    <xf numFmtId="164" fontId="10" fillId="4" borderId="0" xfId="1" applyNumberFormat="1" applyFont="1" applyFill="1" applyBorder="1" applyAlignment="1">
      <alignment horizontal="center" vertical="top" wrapText="1"/>
    </xf>
    <xf numFmtId="0" fontId="15" fillId="4" borderId="0" xfId="2" applyFont="1" applyFill="1" applyBorder="1" applyAlignment="1">
      <alignment horizontal="center" vertical="center"/>
    </xf>
    <xf numFmtId="0" fontId="18" fillId="4" borderId="0" xfId="1" applyNumberFormat="1" applyFont="1" applyFill="1" applyBorder="1" applyAlignment="1">
      <alignment horizontal="center" vertical="top" wrapText="1"/>
    </xf>
    <xf numFmtId="0" fontId="10" fillId="4" borderId="0" xfId="3" applyNumberFormat="1" applyFont="1" applyFill="1" applyBorder="1" applyAlignment="1">
      <alignment horizontal="center" vertical="top" wrapText="1"/>
    </xf>
    <xf numFmtId="0" fontId="11" fillId="4" borderId="0" xfId="1" applyNumberFormat="1" applyFont="1" applyFill="1" applyBorder="1" applyAlignment="1">
      <alignment horizontal="center" vertical="top" wrapText="1"/>
    </xf>
    <xf numFmtId="0" fontId="21" fillId="6" borderId="0" xfId="6" applyFont="1" applyFill="1" applyBorder="1" applyAlignment="1">
      <alignment horizontal="center" vertical="top" wrapText="1"/>
    </xf>
    <xf numFmtId="164" fontId="18" fillId="4" borderId="0" xfId="1" applyNumberFormat="1" applyFont="1" applyFill="1" applyBorder="1" applyAlignment="1">
      <alignment horizontal="center" vertical="top" wrapText="1"/>
    </xf>
    <xf numFmtId="164" fontId="18" fillId="5" borderId="0" xfId="1" applyNumberFormat="1" applyFont="1" applyFill="1" applyBorder="1" applyAlignment="1">
      <alignment horizontal="left" vertical="top" wrapText="1"/>
    </xf>
    <xf numFmtId="164" fontId="18" fillId="5" borderId="0" xfId="1" applyNumberFormat="1" applyFont="1" applyFill="1" applyBorder="1" applyAlignment="1">
      <alignment horizontal="center" vertical="top" wrapText="1"/>
    </xf>
    <xf numFmtId="0" fontId="0" fillId="0" borderId="0" xfId="0" applyFill="1"/>
    <xf numFmtId="0" fontId="11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0" fontId="15" fillId="4" borderId="0" xfId="2" applyFont="1" applyFill="1" applyBorder="1" applyAlignment="1">
      <alignment horizontal="center" vertical="center" textRotation="45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0" fillId="4" borderId="0" xfId="1" applyNumberFormat="1" applyFont="1" applyFill="1" applyBorder="1" applyAlignment="1">
      <alignment horizontal="left" vertical="top" wrapText="1"/>
    </xf>
    <xf numFmtId="0" fontId="11" fillId="4" borderId="0" xfId="0" applyNumberFormat="1" applyFont="1" applyFill="1" applyBorder="1"/>
    <xf numFmtId="0" fontId="11" fillId="4" borderId="0" xfId="1" applyNumberFormat="1" applyFont="1" applyFill="1" applyAlignment="1">
      <alignment horizontal="center"/>
    </xf>
    <xf numFmtId="0" fontId="11" fillId="4" borderId="0" xfId="1" applyNumberFormat="1" applyFont="1" applyFill="1" applyBorder="1" applyAlignment="1">
      <alignment horizontal="center"/>
    </xf>
    <xf numFmtId="0" fontId="15" fillId="0" borderId="0" xfId="2" applyFont="1" applyFill="1" applyBorder="1" applyAlignment="1">
      <alignment horizontal="center" vertical="center" textRotation="45"/>
    </xf>
    <xf numFmtId="0" fontId="10" fillId="0" borderId="0" xfId="0" applyFont="1" applyFill="1" applyBorder="1" applyAlignment="1">
      <alignment horizontal="center"/>
    </xf>
    <xf numFmtId="0" fontId="15" fillId="4" borderId="0" xfId="2" applyFont="1" applyFill="1" applyBorder="1" applyAlignment="1">
      <alignment horizontal="center" vertical="center" textRotation="45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0" fillId="7" borderId="0" xfId="0" applyFont="1" applyFill="1" applyBorder="1" applyAlignment="1">
      <alignment horizontal="center"/>
    </xf>
    <xf numFmtId="0" fontId="15" fillId="7" borderId="0" xfId="2" applyFont="1" applyFill="1" applyBorder="1" applyAlignment="1">
      <alignment horizontal="center" vertical="center" textRotation="45"/>
    </xf>
    <xf numFmtId="0" fontId="10" fillId="7" borderId="0" xfId="1" applyNumberFormat="1" applyFont="1" applyFill="1" applyBorder="1" applyAlignment="1">
      <alignment horizontal="center" vertical="top" wrapText="1"/>
    </xf>
    <xf numFmtId="49" fontId="10" fillId="0" borderId="0" xfId="1" applyNumberFormat="1" applyFont="1" applyBorder="1" applyAlignment="1">
      <alignment horizontal="left" vertical="center"/>
    </xf>
    <xf numFmtId="49" fontId="9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/>
    </xf>
    <xf numFmtId="0" fontId="15" fillId="4" borderId="0" xfId="2" applyFont="1" applyFill="1" applyBorder="1" applyAlignment="1">
      <alignment horizontal="center" vertical="center" textRotation="45"/>
    </xf>
    <xf numFmtId="0" fontId="16" fillId="4" borderId="0" xfId="2" applyFont="1" applyFill="1" applyBorder="1" applyAlignment="1">
      <alignment horizontal="center" vertical="center" wrapText="1"/>
    </xf>
    <xf numFmtId="2" fontId="10" fillId="0" borderId="0" xfId="1" applyNumberFormat="1" applyFont="1" applyFill="1" applyBorder="1" applyAlignment="1">
      <alignment horizontal="center" vertical="center" wrapText="1"/>
    </xf>
    <xf numFmtId="2" fontId="12" fillId="0" borderId="0" xfId="2" applyNumberFormat="1" applyFont="1" applyFill="1" applyBorder="1" applyAlignment="1">
      <alignment horizontal="center" vertical="top" wrapText="1"/>
    </xf>
    <xf numFmtId="0" fontId="0" fillId="7" borderId="0" xfId="0" applyFill="1"/>
  </cellXfs>
  <cellStyles count="7">
    <cellStyle name="40% - Accent1 2" xfId="3"/>
    <cellStyle name="Accent1 2" xfId="2"/>
    <cellStyle name="Heading 1 2" xfId="4"/>
    <cellStyle name="Lien hypertexte" xfId="5" builtinId="8"/>
    <cellStyle name="Normal" xfId="0" builtinId="0" customBuiltin="1"/>
    <cellStyle name="Normal 2" xfId="1"/>
    <cellStyle name="Texte explicatif" xfId="6" builtinId="53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FDFDFD"/>
      <color rgb="FFEAE8E0"/>
      <color rgb="FFA19574"/>
      <color rgb="FFC17529"/>
      <color rgb="FFEAE8EA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6"/>
</file>

<file path=xl/ctrlProps/ctrlProp2.xml><?xml version="1.0" encoding="utf-8"?>
<formControlPr xmlns="http://schemas.microsoft.com/office/spreadsheetml/2009/9/main" objectType="Spin" dx="16" fmlaLink="Année_Calendaire" max="2999" min="190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60960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60960</xdr:rowOff>
        </xdr:from>
        <xdr:to>
          <xdr:col>0</xdr:col>
          <xdr:colOff>381000</xdr:colOff>
          <xdr:row>2</xdr:row>
          <xdr:rowOff>160020</xdr:rowOff>
        </xdr:to>
        <xdr:sp macro="" textlink="">
          <xdr:nvSpPr>
            <xdr:cNvPr id="2050" name="Spinner 2" descr="Spinner control. Use spinner to change calendar year or type desired year in cell L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1" sqref="C11"/>
    </sheetView>
  </sheetViews>
  <sheetFormatPr baseColWidth="10" defaultColWidth="6.6328125" defaultRowHeight="13.8" x14ac:dyDescent="0.25"/>
  <cols>
    <col min="1" max="1" width="11.1796875" style="2" customWidth="1"/>
    <col min="2" max="2" width="5.81640625" style="2" customWidth="1"/>
    <col min="3" max="50" width="4.81640625" style="2" customWidth="1"/>
    <col min="51" max="57" width="7.81640625" style="2" customWidth="1"/>
    <col min="58" max="58" width="4.54296875" style="2" customWidth="1"/>
    <col min="59" max="16384" width="6.6328125" style="2"/>
  </cols>
  <sheetData>
    <row r="1" spans="1:59" ht="24.6" x14ac:dyDescent="0.25">
      <c r="A1" s="23">
        <v>2016</v>
      </c>
      <c r="B1" s="93" t="s">
        <v>80</v>
      </c>
      <c r="C1" s="18"/>
      <c r="D1" s="10"/>
      <c r="E1" s="16" t="s">
        <v>81</v>
      </c>
      <c r="F1" s="16"/>
      <c r="G1" s="16" t="s">
        <v>82</v>
      </c>
      <c r="H1" s="16"/>
      <c r="I1" s="16" t="s">
        <v>83</v>
      </c>
      <c r="J1" s="16"/>
      <c r="K1" s="16"/>
      <c r="L1" s="16"/>
      <c r="M1" s="16" t="s">
        <v>84</v>
      </c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BF1" s="10"/>
    </row>
    <row r="2" spans="1:59" ht="27.75" customHeight="1" x14ac:dyDescent="0.25">
      <c r="C2" s="24"/>
      <c r="D2" s="19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Z2" s="97" t="s">
        <v>45</v>
      </c>
      <c r="BA2" s="97" t="s">
        <v>46</v>
      </c>
      <c r="BB2" s="11"/>
      <c r="BF2" s="14"/>
    </row>
    <row r="3" spans="1:59" s="6" customFormat="1" x14ac:dyDescent="0.25">
      <c r="A3" s="15"/>
      <c r="B3" s="15"/>
      <c r="C3" s="15"/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Z3" s="97"/>
      <c r="BA3" s="97"/>
      <c r="BF3" s="9"/>
    </row>
    <row r="4" spans="1:59" s="3" customFormat="1" ht="27.6" x14ac:dyDescent="0.45">
      <c r="A4" s="25"/>
      <c r="B4" s="25"/>
      <c r="C4" s="26" t="s">
        <v>0</v>
      </c>
      <c r="D4" s="26"/>
      <c r="E4" s="26"/>
      <c r="F4" s="26"/>
      <c r="G4" s="26"/>
      <c r="H4" s="94">
        <f>Année_Calendaire</f>
        <v>2016</v>
      </c>
      <c r="I4" s="94"/>
      <c r="J4" s="50"/>
      <c r="K4" s="80"/>
      <c r="L4" s="27"/>
      <c r="M4" s="27"/>
      <c r="N4" s="27"/>
      <c r="O4" s="27"/>
      <c r="P4" s="27"/>
      <c r="Q4" s="27"/>
      <c r="R4" s="27"/>
      <c r="S4" s="50"/>
      <c r="T4" s="80"/>
      <c r="U4" s="26" t="s">
        <v>0</v>
      </c>
      <c r="V4" s="26"/>
      <c r="W4" s="26"/>
      <c r="X4" s="26"/>
      <c r="Y4" s="26"/>
      <c r="Z4" s="94">
        <f>Année_Calendaire</f>
        <v>2016</v>
      </c>
      <c r="AA4" s="94"/>
      <c r="AB4" s="50"/>
      <c r="AC4" s="80"/>
      <c r="AD4" s="27"/>
      <c r="AE4" s="27"/>
      <c r="AF4" s="27"/>
      <c r="AG4" s="27"/>
      <c r="AH4" s="27"/>
      <c r="AI4" s="27"/>
      <c r="AJ4" s="27"/>
      <c r="AK4" s="50"/>
      <c r="AL4" s="80"/>
      <c r="AM4" s="26" t="s">
        <v>0</v>
      </c>
      <c r="AN4" s="26"/>
      <c r="AO4" s="26"/>
      <c r="AP4" s="26"/>
      <c r="AQ4" s="26"/>
      <c r="AR4" s="94">
        <f>Année_Calendaire</f>
        <v>2016</v>
      </c>
      <c r="AS4" s="94"/>
      <c r="AT4" s="50"/>
      <c r="AU4" s="80"/>
      <c r="AV4" s="27"/>
      <c r="AW4" s="27"/>
      <c r="AX4" s="50"/>
      <c r="AY4" s="24"/>
      <c r="AZ4" s="24"/>
      <c r="BA4" s="24"/>
      <c r="BB4" s="24"/>
      <c r="BC4" s="24"/>
      <c r="BD4" s="95"/>
      <c r="BE4" s="95"/>
      <c r="BF4" s="56"/>
    </row>
    <row r="5" spans="1:59" s="28" customFormat="1" ht="29.25" customHeight="1" x14ac:dyDescent="0.25">
      <c r="A5" s="47"/>
      <c r="B5" s="86" t="s">
        <v>77</v>
      </c>
      <c r="C5" s="62" t="s">
        <v>13</v>
      </c>
      <c r="D5" s="62" t="s">
        <v>14</v>
      </c>
      <c r="E5" s="62" t="s">
        <v>15</v>
      </c>
      <c r="F5" s="62" t="s">
        <v>16</v>
      </c>
      <c r="G5" s="62" t="s">
        <v>17</v>
      </c>
      <c r="H5" s="62" t="s">
        <v>18</v>
      </c>
      <c r="I5" s="62" t="s">
        <v>19</v>
      </c>
      <c r="J5" s="96" t="s">
        <v>32</v>
      </c>
      <c r="K5" s="86" t="s">
        <v>78</v>
      </c>
      <c r="L5" s="62" t="s">
        <v>13</v>
      </c>
      <c r="M5" s="62" t="s">
        <v>14</v>
      </c>
      <c r="N5" s="62" t="s">
        <v>15</v>
      </c>
      <c r="O5" s="62" t="s">
        <v>16</v>
      </c>
      <c r="P5" s="62" t="s">
        <v>17</v>
      </c>
      <c r="Q5" s="62" t="s">
        <v>18</v>
      </c>
      <c r="R5" s="62" t="s">
        <v>19</v>
      </c>
      <c r="S5" s="96" t="s">
        <v>32</v>
      </c>
      <c r="T5" s="86" t="s">
        <v>79</v>
      </c>
      <c r="U5" s="62" t="s">
        <v>13</v>
      </c>
      <c r="V5" s="62" t="s">
        <v>14</v>
      </c>
      <c r="W5" s="62" t="s">
        <v>15</v>
      </c>
      <c r="X5" s="62" t="s">
        <v>16</v>
      </c>
      <c r="Y5" s="62" t="s">
        <v>17</v>
      </c>
      <c r="Z5" s="62" t="s">
        <v>18</v>
      </c>
      <c r="AA5" s="62" t="s">
        <v>19</v>
      </c>
      <c r="AB5" s="96" t="s">
        <v>32</v>
      </c>
      <c r="AC5" s="86" t="s">
        <v>58</v>
      </c>
      <c r="AD5" s="62" t="s">
        <v>13</v>
      </c>
      <c r="AE5" s="62" t="s">
        <v>14</v>
      </c>
      <c r="AF5" s="62" t="s">
        <v>15</v>
      </c>
      <c r="AG5" s="62" t="s">
        <v>16</v>
      </c>
      <c r="AH5" s="62" t="s">
        <v>17</v>
      </c>
      <c r="AI5" s="62" t="s">
        <v>18</v>
      </c>
      <c r="AJ5" s="62" t="s">
        <v>19</v>
      </c>
      <c r="AK5" s="96" t="s">
        <v>32</v>
      </c>
      <c r="AL5" s="85" t="s">
        <v>77</v>
      </c>
      <c r="AM5" s="62" t="s">
        <v>13</v>
      </c>
      <c r="AN5" s="62" t="s">
        <v>14</v>
      </c>
      <c r="AO5" s="62" t="s">
        <v>15</v>
      </c>
      <c r="AP5" s="62" t="s">
        <v>16</v>
      </c>
      <c r="AQ5" s="62" t="s">
        <v>17</v>
      </c>
      <c r="AR5" s="62" t="s">
        <v>18</v>
      </c>
      <c r="AS5" s="62" t="s">
        <v>19</v>
      </c>
      <c r="AT5" s="96" t="s">
        <v>32</v>
      </c>
      <c r="AU5" s="85" t="s">
        <v>78</v>
      </c>
      <c r="AV5" s="62" t="s">
        <v>13</v>
      </c>
      <c r="AW5" s="62" t="s">
        <v>14</v>
      </c>
      <c r="AX5" s="96" t="s">
        <v>32</v>
      </c>
      <c r="AY5" s="96" t="s">
        <v>35</v>
      </c>
      <c r="AZ5" s="97">
        <f>AY12+AY13+AY14</f>
        <v>10</v>
      </c>
      <c r="BA5" s="97">
        <f>AZ5</f>
        <v>10</v>
      </c>
      <c r="BB5" s="51"/>
      <c r="BC5" s="51"/>
      <c r="BD5" s="51"/>
      <c r="BE5" s="51"/>
      <c r="BF5" s="44"/>
    </row>
    <row r="6" spans="1:59" s="30" customFormat="1" ht="15" customHeight="1" x14ac:dyDescent="0.25">
      <c r="A6" s="13"/>
      <c r="B6" s="61"/>
      <c r="C6" s="61" t="str">
        <f>IF(DAY(Jan_Dim1)=1,"",IF(AND(YEAR(Jan_Dim1+1)=Année_Calendaire,MONTH(Jan_Dim1+1)=1),Jan_Dim1+1,""))</f>
        <v/>
      </c>
      <c r="D6" s="61" t="str">
        <f>IF(DAY(Jan_Dim1)=1,"",IF(AND(YEAR(Jan_Dim1+2)=Année_Calendaire,MONTH(Jan_Dim1+2)=1),Jan_Dim1+2,""))</f>
        <v/>
      </c>
      <c r="E6" s="61" t="str">
        <f>IF(DAY(Jan_Dim1)=1,"",IF(AND(YEAR(Jan_Dim1+3)=Année_Calendaire,MONTH(Jan_Dim1+3)=1),Jan_Dim1+3,""))</f>
        <v/>
      </c>
      <c r="F6" s="61" t="str">
        <f>IF(DAY(Jan_Dim1)=1,"",IF(AND(YEAR(Jan_Dim1+4)=Année_Calendaire,MONTH(Jan_Dim1+4)=1),Jan_Dim1+4,""))</f>
        <v/>
      </c>
      <c r="G6" s="61">
        <f>IF(DAY(Jan_Dim1)=1,"",IF(AND(YEAR(Jan_Dim1+5)=Année_Calendaire,MONTH(Jan_Dim1+5)=1),Jan_Dim1+5,""))</f>
        <v>42370</v>
      </c>
      <c r="H6" s="61">
        <f>IF(DAY(Jan_Dim1)=1,"",IF(AND(YEAR(Jan_Dim1+6)=Année_Calendaire,MONTH(Jan_Dim1+6)=1),Jan_Dim1+6,""))</f>
        <v>42371</v>
      </c>
      <c r="I6" s="61">
        <f>IF(DAY(Jan_Dim1)=1,IF(AND(YEAR(Jan_Dim1)=Année_Calendaire,MONTH(Jan_Dim1)=1),Jan_Dim1,""),IF(AND(YEAR(Jan_Dim1+7)=Année_Calendaire,MONTH(Jan_Dim1+7)=1),Jan_Dim1+7,""))</f>
        <v>42372</v>
      </c>
      <c r="J6" s="96"/>
      <c r="K6" s="78"/>
      <c r="L6" s="61">
        <f>IF(DAY(Jan_Dim1)=1,IF(AND(YEAR(Jan_Dim1+1)=Année_Calendaire,MONTH(Jan_Dim1+1)=1),Jan_Dim1+1,""),IF(AND(YEAR(Jan_Dim1+8)=Année_Calendaire,MONTH(Jan_Dim1+8)=1),Jan_Dim1+8,""))</f>
        <v>42373</v>
      </c>
      <c r="M6" s="61">
        <f>IF(DAY(Jan_Dim1)=1,IF(AND(YEAR(Jan_Dim1+2)=Année_Calendaire,MONTH(Jan_Dim1+2)=1),Jan_Dim1+2,""),IF(AND(YEAR(Jan_Dim1+9)=Année_Calendaire,MONTH(Jan_Dim1+9)=1),Jan_Dim1+9,""))</f>
        <v>42374</v>
      </c>
      <c r="N6" s="61">
        <f>IF(DAY(Jan_Dim1)=1,IF(AND(YEAR(Jan_Dim1+3)=Année_Calendaire,MONTH(Jan_Dim1+3)=1),Jan_Dim1+3,""),IF(AND(YEAR(Jan_Dim1+10)=Année_Calendaire,MONTH(Jan_Dim1+10)=1),Jan_Dim1+10,""))</f>
        <v>42375</v>
      </c>
      <c r="O6" s="61">
        <f>IF(DAY(Jan_Dim1)=1,IF(AND(YEAR(Jan_Dim1+4)=Année_Calendaire,MONTH(Jan_Dim1+4)=1),Jan_Dim1+4,""),IF(AND(YEAR(Jan_Dim1+11)=Année_Calendaire,MONTH(Jan_Dim1+11)=1),Jan_Dim1+11,""))</f>
        <v>42376</v>
      </c>
      <c r="P6" s="61">
        <f>IF(DAY(Jan_Dim1)=1,IF(AND(YEAR(Jan_Dim1+5)=Année_Calendaire,MONTH(Jan_Dim1+5)=1),Jan_Dim1+5,""),IF(AND(YEAR(Jan_Dim1+12)=Année_Calendaire,MONTH(Jan_Dim1+12)=1),Jan_Dim1+12,""))</f>
        <v>42377</v>
      </c>
      <c r="Q6" s="61">
        <f>IF(DAY(Jan_Dim1)=1,IF(AND(YEAR(Jan_Dim1+6)=Année_Calendaire,MONTH(Jan_Dim1+6)=1),Jan_Dim1+6,""),IF(AND(YEAR(Jan_Dim1+13)=Année_Calendaire,MONTH(Jan_Dim1+13)=1),Jan_Dim1+13,""))</f>
        <v>42378</v>
      </c>
      <c r="R6" s="61">
        <f>IF(DAY(Jan_Dim1)=1,IF(AND(YEAR(Jan_Dim1+7)=Année_Calendaire,MONTH(Jan_Dim1+7)=1),Jan_Dim1+7,""),IF(AND(YEAR(Jan_Dim1+14)=Année_Calendaire,MONTH(Jan_Dim1+14)=1),Jan_Dim1+14,""))</f>
        <v>42379</v>
      </c>
      <c r="S6" s="96"/>
      <c r="T6" s="78"/>
      <c r="U6" s="61">
        <f>IF(DAY(Jan_Dim1)=1,IF(AND(YEAR(Jan_Dim1+8)=Année_Calendaire,MONTH(Jan_Dim1+8)=1),Jan_Dim1+8,""),IF(AND(YEAR(Jan_Dim1+15)=Année_Calendaire,MONTH(Jan_Dim1+15)=1),Jan_Dim1+15,""))</f>
        <v>42380</v>
      </c>
      <c r="V6" s="61">
        <f>IF(DAY(Jan_Dim1)=1,IF(AND(YEAR(Jan_Dim1+9)=Année_Calendaire,MONTH(Jan_Dim1+9)=1),Jan_Dim1+9,""),IF(AND(YEAR(Jan_Dim1+16)=Année_Calendaire,MONTH(Jan_Dim1+16)=1),Jan_Dim1+16,""))</f>
        <v>42381</v>
      </c>
      <c r="W6" s="61">
        <f>IF(DAY(Jan_Dim1)=1,IF(AND(YEAR(Jan_Dim1+10)=Année_Calendaire,MONTH(Jan_Dim1+10)=1),Jan_Dim1+10,""),IF(AND(YEAR(Jan_Dim1+17)=Année_Calendaire,MONTH(Jan_Dim1+17)=1),Jan_Dim1+17,""))</f>
        <v>42382</v>
      </c>
      <c r="X6" s="61">
        <f>IF(DAY(Jan_Dim1)=1,IF(AND(YEAR(Jan_Dim1+11)=Année_Calendaire,MONTH(Jan_Dim1+11)=1),Jan_Dim1+11,""),IF(AND(YEAR(Jan_Dim1+18)=Année_Calendaire,MONTH(Jan_Dim1+18)=1),Jan_Dim1+18,""))</f>
        <v>42383</v>
      </c>
      <c r="Y6" s="61">
        <f>IF(DAY(Jan_Dim1)=1,IF(AND(YEAR(Jan_Dim1+12)=Année_Calendaire,MONTH(Jan_Dim1+12)=1),Jan_Dim1+12,""),IF(AND(YEAR(Jan_Dim1+19)=Année_Calendaire,MONTH(Jan_Dim1+19)=1),Jan_Dim1+19,""))</f>
        <v>42384</v>
      </c>
      <c r="Z6" s="61">
        <f>IF(DAY(Jan_Dim1)=1,IF(AND(YEAR(Jan_Dim1+13)=Année_Calendaire,MONTH(Jan_Dim1+13)=1),Jan_Dim1+13,""),IF(AND(YEAR(Jan_Dim1+20)=Année_Calendaire,MONTH(Jan_Dim1+20)=1),Jan_Dim1+20,""))</f>
        <v>42385</v>
      </c>
      <c r="AA6" s="61">
        <f>IF(DAY(Jan_Dim1)=1,IF(AND(YEAR(Jan_Dim1+14)=Année_Calendaire,MONTH(Jan_Dim1+14)=1),Jan_Dim1+14,""),IF(AND(YEAR(Jan_Dim1+21)=Année_Calendaire,MONTH(Jan_Dim1+21)=1),Jan_Dim1+21,""))</f>
        <v>42386</v>
      </c>
      <c r="AB6" s="96"/>
      <c r="AC6" s="78"/>
      <c r="AD6" s="61">
        <f>IF(DAY(Jan_Dim1)=1,IF(AND(YEAR(Jan_Dim1+15)=Année_Calendaire,MONTH(Jan_Dim1+15)=1),Jan_Dim1+15,""),IF(AND(YEAR(Jan_Dim1+22)=Année_Calendaire,MONTH(Jan_Dim1+22)=1),Jan_Dim1+22,""))</f>
        <v>42387</v>
      </c>
      <c r="AE6" s="61">
        <f>IF(DAY(Jan_Dim1)=1,IF(AND(YEAR(Jan_Dim1+16)=Année_Calendaire,MONTH(Jan_Dim1+16)=1),Jan_Dim1+16,""),IF(AND(YEAR(Jan_Dim1+23)=Année_Calendaire,MONTH(Jan_Dim1+23)=1),Jan_Dim1+23,""))</f>
        <v>42388</v>
      </c>
      <c r="AF6" s="61">
        <f>IF(DAY(Jan_Dim1)=1,IF(AND(YEAR(Jan_Dim1+17)=Année_Calendaire,MONTH(Jan_Dim1+17)=1),Jan_Dim1+17,""),IF(AND(YEAR(Jan_Dim1+24)=Année_Calendaire,MONTH(Jan_Dim1+24)=1),Jan_Dim1+24,""))</f>
        <v>42389</v>
      </c>
      <c r="AG6" s="61">
        <f>IF(DAY(Jan_Dim1)=1,IF(AND(YEAR(Jan_Dim1+18)=Année_Calendaire,MONTH(Jan_Dim1+18)=1),Jan_Dim1+18,""),IF(AND(YEAR(Jan_Dim1+25)=Année_Calendaire,MONTH(Jan_Dim1+25)=1),Jan_Dim1+25,""))</f>
        <v>42390</v>
      </c>
      <c r="AH6" s="61">
        <f>IF(DAY(Jan_Dim1)=1,IF(AND(YEAR(Jan_Dim1+19)=Année_Calendaire,MONTH(Jan_Dim1+19)=1),Jan_Dim1+19,""),IF(AND(YEAR(Jan_Dim1+26)=Année_Calendaire,MONTH(Jan_Dim1+26)=1),Jan_Dim1+26,""))</f>
        <v>42391</v>
      </c>
      <c r="AI6" s="61">
        <f>IF(DAY(Jan_Dim1)=1,IF(AND(YEAR(Jan_Dim1+20)=Année_Calendaire,MONTH(Jan_Dim1+20)=1),Jan_Dim1+20,""),IF(AND(YEAR(Jan_Dim1+27)=Année_Calendaire,MONTH(Jan_Dim1+27)=1),Jan_Dim1+27,""))</f>
        <v>42392</v>
      </c>
      <c r="AJ6" s="61">
        <f>IF(DAY(Jan_Dim1)=1,IF(AND(YEAR(Jan_Dim1+21)=Année_Calendaire,MONTH(Jan_Dim1+21)=1),Jan_Dim1+21,""),IF(AND(YEAR(Jan_Dim1+28)=Année_Calendaire,MONTH(Jan_Dim1+28)=1),Jan_Dim1+28,""))</f>
        <v>42393</v>
      </c>
      <c r="AK6" s="96"/>
      <c r="AL6" s="78"/>
      <c r="AM6" s="61">
        <f>IF(DAY(Jan_Dim1)=1,IF(AND(YEAR(Jan_Dim1+22)=Année_Calendaire,MONTH(Jan_Dim1+22)=1),Jan_Dim1+22,""),IF(AND(YEAR(Jan_Dim1+29)=Année_Calendaire,MONTH(Jan_Dim1+29)=1),Jan_Dim1+29,""))</f>
        <v>42394</v>
      </c>
      <c r="AN6" s="61">
        <f>IF(DAY(Jan_Dim1)=1,IF(AND(YEAR(Jan_Dim1+23)=Année_Calendaire,MONTH(Jan_Dim1+23)=1),Jan_Dim1+23,""),IF(AND(YEAR(Jan_Dim1+30)=Année_Calendaire,MONTH(Jan_Dim1+30)=1),Jan_Dim1+30,""))</f>
        <v>42395</v>
      </c>
      <c r="AO6" s="61">
        <f>IF(DAY(Jan_Dim1)=1,IF(AND(YEAR(Jan_Dim1+24)=Année_Calendaire,MONTH(Jan_Dim1+24)=1),Jan_Dim1+24,""),IF(AND(YEAR(Jan_Dim1+31)=Année_Calendaire,MONTH(Jan_Dim1+31)=1),Jan_Dim1+31,""))</f>
        <v>42396</v>
      </c>
      <c r="AP6" s="61">
        <f>IF(DAY(Jan_Dim1)=1,IF(AND(YEAR(Jan_Dim1+25)=Année_Calendaire,MONTH(Jan_Dim1+25)=1),Jan_Dim1+25,""),IF(AND(YEAR(Jan_Dim1+32)=Année_Calendaire,MONTH(Jan_Dim1+32)=1),Jan_Dim1+32,""))</f>
        <v>42397</v>
      </c>
      <c r="AQ6" s="61">
        <f>IF(DAY(Jan_Dim1)=1,IF(AND(YEAR(Jan_Dim1+26)=Année_Calendaire,MONTH(Jan_Dim1+26)=1),Jan_Dim1+26,""),IF(AND(YEAR(Jan_Dim1+33)=Année_Calendaire,MONTH(Jan_Dim1+33)=1),Jan_Dim1+33,""))</f>
        <v>42398</v>
      </c>
      <c r="AR6" s="61">
        <f>IF(DAY(Jan_Dim1)=1,IF(AND(YEAR(Jan_Dim1+27)=Année_Calendaire,MONTH(Jan_Dim1+27)=1),Jan_Dim1+27,""),IF(AND(YEAR(Jan_Dim1+34)=Année_Calendaire,MONTH(Jan_Dim1+34)=1),Jan_Dim1+34,""))</f>
        <v>42399</v>
      </c>
      <c r="AS6" s="61">
        <f>IF(DAY(Jan_Dim1)=1,IF(AND(YEAR(Jan_Dim1+28)=Année_Calendaire,MONTH(Jan_Dim1+28)=1),Jan_Dim1+28,""),IF(AND(YEAR(Jan_Dim1+35)=Année_Calendaire,MONTH(Jan_Dim1+35)=1),Jan_Dim1+35,""))</f>
        <v>42400</v>
      </c>
      <c r="AT6" s="96"/>
      <c r="AU6" s="78"/>
      <c r="AV6" s="61" t="str">
        <f>IF(DAY(Jan_Dim1)=1,IF(AND(YEAR(Jan_Dim1+29)=Année_Calendaire,MONTH(Jan_Dim1+29)=1),Jan_Dim1+29,""),IF(AND(YEAR(Jan_Dim1+36)=Année_Calendaire,MONTH(Jan_Dim1+36)=1),Jan_Dim1+36,""))</f>
        <v/>
      </c>
      <c r="AW6" s="61" t="str">
        <f>IF(DAY(Jan_Dim1)=1,IF(AND(YEAR(Jan_Dim1+30)=Année_Calendaire,MONTH(Jan_Dim1+30)=1),Jan_Dim1+30,""),IF(AND(YEAR(Jan_Dim1+37)=Année_Calendaire,MONTH(Jan_Dim1+37)=1),Jan_Dim1+37,""))</f>
        <v/>
      </c>
      <c r="AX6" s="96"/>
      <c r="AY6" s="96"/>
      <c r="AZ6" s="97"/>
      <c r="BA6" s="97"/>
      <c r="BB6" s="40"/>
      <c r="BC6" s="40"/>
      <c r="BD6" s="40"/>
      <c r="BE6" s="40"/>
      <c r="BF6" s="29"/>
    </row>
    <row r="7" spans="1:59" s="33" customFormat="1" ht="15" customHeight="1" x14ac:dyDescent="0.25">
      <c r="A7" s="21" t="s">
        <v>2</v>
      </c>
      <c r="B7" s="81"/>
      <c r="C7" s="60" t="str">
        <f>IFERROR(VLOOKUP(B5,DATA!$A:$H,2,TRUE),0)</f>
        <v>matin</v>
      </c>
      <c r="D7" s="60" t="str">
        <f>IFERROR(VLOOKUP(B5,DATA!$A:$H,3,TRUE),0)</f>
        <v>matin</v>
      </c>
      <c r="E7" s="60" t="str">
        <f>IFERROR(VLOOKUP(B5,DATA!$A:$H,4,TRUE),0)</f>
        <v>matin</v>
      </c>
      <c r="F7" s="60">
        <f>IFERROR(VLOOKUP(B5,DATA!$A:$H,5,TRUE),0)</f>
        <v>0</v>
      </c>
      <c r="G7" s="60">
        <f>IFERROR(VLOOKUP(B5,DATA!$A:$H,6,TRUE),0)</f>
        <v>0</v>
      </c>
      <c r="H7" s="60">
        <f>IFERROR(VLOOKUP(B5,DATA!$A:$H,7,TRUE),0)</f>
        <v>0</v>
      </c>
      <c r="I7" s="60">
        <f>IFERROR(VLOOKUP(B5,DATA!$A:$H,8,TRUE),0)</f>
        <v>0</v>
      </c>
      <c r="J7" s="60"/>
      <c r="K7" s="60"/>
      <c r="L7" s="60" t="str">
        <f>IFERROR(VLOOKUP(K5,DATA!$A:$H,2,TRUE),0)</f>
        <v>nuit</v>
      </c>
      <c r="M7" s="60" t="str">
        <f>IFERROR(VLOOKUP(K5,DATA!$A:$H,3,TRUE),0)</f>
        <v>nuit</v>
      </c>
      <c r="N7" s="60" t="str">
        <f>IFERROR(VLOOKUP(K5,DATA!$A:$H,4,TRUE),0)</f>
        <v>nuit</v>
      </c>
      <c r="O7" s="60" t="str">
        <f>IFERROR(VLOOKUP(K5,DATA!$A:$H,5,TRUE),0)</f>
        <v>nuit</v>
      </c>
      <c r="P7" s="60" t="str">
        <f>IFERROR(VLOOKUP(K5,DATA!$A:$H,6,TRUE),0)</f>
        <v>nuit</v>
      </c>
      <c r="Q7" s="60">
        <f>IFERROR(VLOOKUP(K5,DATA!$A:$H,7,TRUE),0)</f>
        <v>0</v>
      </c>
      <c r="R7" s="60">
        <f>IFERROR(VLOOKUP(K5,DATA!$A:$H,8,TRUE),0)</f>
        <v>0</v>
      </c>
      <c r="S7" s="60"/>
      <c r="T7" s="60"/>
      <c r="U7" s="60" t="str">
        <f>IFERROR(VLOOKUP(T5,DATA!$A:$H,2,TRUE),0)</f>
        <v>matin</v>
      </c>
      <c r="V7" s="60">
        <f>IFERROR(VLOOKUP(T5,DATA!$A:$H,3,TRUE),0)</f>
        <v>0</v>
      </c>
      <c r="W7" s="60">
        <f>IFERROR(VLOOKUP(T5,DATA!$A:$H,4,TRUE),0)</f>
        <v>0</v>
      </c>
      <c r="X7" s="60" t="str">
        <f>IFERROR(VLOOKUP(T5,DATA!$A:$H,5,TRUE),0)</f>
        <v>matin</v>
      </c>
      <c r="Y7" s="60" t="str">
        <f>IFERROR(VLOOKUP(T5,DATA!$A:$H,6,TRUE),0)</f>
        <v>matin</v>
      </c>
      <c r="Z7" s="60">
        <f>IFERROR(VLOOKUP(T5,DATA!$A:$H,7,TRUE),0)</f>
        <v>0</v>
      </c>
      <c r="AA7" s="60">
        <f>IFERROR(VLOOKUP(T5,DATA!$A:$H,8,TRUE),0)</f>
        <v>0</v>
      </c>
      <c r="AB7" s="60"/>
      <c r="AC7" s="60"/>
      <c r="AD7" s="60" t="str">
        <f>IFERROR(VLOOKUP(AC5,DATA!$A:$H,2,TRUE),0)</f>
        <v>am</v>
      </c>
      <c r="AE7" s="60" t="str">
        <f>IFERROR(VLOOKUP(AC5,DATA!$A:$H,3,TRUE),0)</f>
        <v>am</v>
      </c>
      <c r="AF7" s="60" t="str">
        <f>IFERROR(VLOOKUP(AC5,DATA!$A:$H,4,TRUE),0)</f>
        <v>am</v>
      </c>
      <c r="AG7" s="60" t="str">
        <f>IFERROR(VLOOKUP(AC5,DATA!$A:$H,5,TRUE),0)</f>
        <v>am</v>
      </c>
      <c r="AH7" s="60" t="str">
        <f>IFERROR(VLOOKUP(AC5,DATA!$A:$H,6,TRUE),0)</f>
        <v>am</v>
      </c>
      <c r="AI7" s="60">
        <f>IFERROR(VLOOKUP(AC5,DATA!$A:$H,7,TRUE),0)</f>
        <v>0</v>
      </c>
      <c r="AJ7" s="60">
        <f>IFERROR(VLOOKUP(AC5,DATA!$A:$H,8,TRUE),0)</f>
        <v>0</v>
      </c>
      <c r="AK7" s="60"/>
      <c r="AL7" s="60"/>
      <c r="AM7" s="60" t="str">
        <f>IFERROR(VLOOKUP(AL5,DATA!$A:$H,2,TRUE),0)</f>
        <v>matin</v>
      </c>
      <c r="AN7" s="60" t="str">
        <f>IFERROR(VLOOKUP(AL5,DATA!$A:$H,3,TRUE),0)</f>
        <v>matin</v>
      </c>
      <c r="AO7" s="60" t="str">
        <f>IFERROR(VLOOKUP(AL5,DATA!$A:$H,4,TRUE),0)</f>
        <v>matin</v>
      </c>
      <c r="AP7" s="60">
        <f>IFERROR(VLOOKUP(AL5,DATA!$A:$H,5,TRUE),0)</f>
        <v>0</v>
      </c>
      <c r="AQ7" s="60">
        <f>IFERROR(VLOOKUP(AL5,DATA!$A:$H,6,TRUE),0)</f>
        <v>0</v>
      </c>
      <c r="AR7" s="60">
        <f>IFERROR(VLOOKUP(AL5,DATA!$A:$H,7,TRUE),0)</f>
        <v>0</v>
      </c>
      <c r="AS7" s="60">
        <f>IFERROR(VLOOKUP(AL5,DATA!$A:$H,8,TRUE),0)</f>
        <v>0</v>
      </c>
      <c r="AT7" s="60"/>
      <c r="AU7" s="60"/>
      <c r="AV7" s="31" t="str">
        <f>IFERROR(VLOOKUP(AU5,DATA!$A:$H,2,TRUE),0)</f>
        <v>nuit</v>
      </c>
      <c r="AW7" s="31" t="str">
        <f>IFERROR(VLOOKUP(AU5,DATA!$A:$H,3,TRUE),0)</f>
        <v>nuit</v>
      </c>
      <c r="AX7" s="60"/>
      <c r="AY7" s="63"/>
      <c r="AZ7" s="52"/>
      <c r="BA7" s="52"/>
      <c r="BB7" s="52"/>
      <c r="BC7" s="52"/>
      <c r="BD7" s="52"/>
      <c r="BE7" s="52"/>
      <c r="BF7" s="32"/>
    </row>
    <row r="8" spans="1:59" s="33" customFormat="1" ht="15" customHeight="1" x14ac:dyDescent="0.25">
      <c r="A8" s="21" t="s">
        <v>12</v>
      </c>
      <c r="B8" s="81"/>
      <c r="C8" s="60">
        <f>IF(C7="Matin",1,IF(C7="AM",1,0))</f>
        <v>1</v>
      </c>
      <c r="D8" s="60">
        <f t="shared" ref="D8" si="0">IF(D7="Matin",1,IF(D7="AM",1,0))</f>
        <v>1</v>
      </c>
      <c r="E8" s="60">
        <f t="shared" ref="E8" si="1">IF(E7="Matin",1,IF(E7="AM",1,0))</f>
        <v>1</v>
      </c>
      <c r="F8" s="60">
        <f t="shared" ref="F8" si="2">IF(F7="Matin",1,IF(F7="AM",1,0))</f>
        <v>0</v>
      </c>
      <c r="G8" s="60">
        <f t="shared" ref="G8" si="3">IF(G7="Matin",1,IF(G7="AM",1,0))</f>
        <v>0</v>
      </c>
      <c r="H8" s="60">
        <f t="shared" ref="H8" si="4">IF(H7="Matin",1,IF(H7="AM",1,0))</f>
        <v>0</v>
      </c>
      <c r="I8" s="60">
        <f t="shared" ref="I8" si="5">IF(I7="Matin",1,IF(I7="AM",1,0))</f>
        <v>0</v>
      </c>
      <c r="J8" s="60">
        <f>SUM(C8:I8)</f>
        <v>3</v>
      </c>
      <c r="K8" s="60"/>
      <c r="L8" s="60">
        <f t="shared" ref="L8" si="6">IF(L7="Matin",1,IF(L7="AM",1,0))</f>
        <v>0</v>
      </c>
      <c r="M8" s="60">
        <f t="shared" ref="M8" si="7">IF(M7="Matin",1,IF(M7="AM",1,0))</f>
        <v>0</v>
      </c>
      <c r="N8" s="60">
        <f t="shared" ref="N8" si="8">IF(N7="Matin",1,IF(N7="AM",1,0))</f>
        <v>0</v>
      </c>
      <c r="O8" s="60">
        <f t="shared" ref="O8" si="9">IF(O7="Matin",1,IF(O7="AM",1,0))</f>
        <v>0</v>
      </c>
      <c r="P8" s="60">
        <f t="shared" ref="P8" si="10">IF(P7="Matin",1,IF(P7="AM",1,0))</f>
        <v>0</v>
      </c>
      <c r="Q8" s="60">
        <f t="shared" ref="Q8" si="11">IF(Q7="Matin",1,IF(Q7="AM",1,0))</f>
        <v>0</v>
      </c>
      <c r="R8" s="60">
        <f t="shared" ref="R8" si="12">IF(R7="Matin",1,IF(R7="AM",1,0))</f>
        <v>0</v>
      </c>
      <c r="S8" s="60">
        <f>SUM(L8:R8)</f>
        <v>0</v>
      </c>
      <c r="T8" s="60"/>
      <c r="U8" s="60">
        <f t="shared" ref="U8" si="13">IF(U7="Matin",1,IF(U7="AM",1,0))</f>
        <v>1</v>
      </c>
      <c r="V8" s="60">
        <f t="shared" ref="V8" si="14">IF(V7="Matin",1,IF(V7="AM",1,0))</f>
        <v>0</v>
      </c>
      <c r="W8" s="60">
        <f t="shared" ref="W8" si="15">IF(W7="Matin",1,IF(W7="AM",1,0))</f>
        <v>0</v>
      </c>
      <c r="X8" s="60">
        <f t="shared" ref="X8" si="16">IF(X7="Matin",1,IF(X7="AM",1,0))</f>
        <v>1</v>
      </c>
      <c r="Y8" s="60">
        <f t="shared" ref="Y8" si="17">IF(Y7="Matin",1,IF(Y7="AM",1,0))</f>
        <v>1</v>
      </c>
      <c r="Z8" s="60">
        <f t="shared" ref="Z8" si="18">IF(Z7="Matin",1,IF(Z7="AM",1,0))</f>
        <v>0</v>
      </c>
      <c r="AA8" s="60">
        <f t="shared" ref="AA8" si="19">IF(AA7="Matin",1,IF(AA7="AM",1,0))</f>
        <v>0</v>
      </c>
      <c r="AB8" s="60">
        <f>SUM(U8:AA8)</f>
        <v>3</v>
      </c>
      <c r="AC8" s="60"/>
      <c r="AD8" s="60">
        <f t="shared" ref="AD8" si="20">IF(AD7="Matin",1,IF(AD7="AM",1,0))</f>
        <v>1</v>
      </c>
      <c r="AE8" s="60">
        <f t="shared" ref="AE8" si="21">IF(AE7="Matin",1,IF(AE7="AM",1,0))</f>
        <v>1</v>
      </c>
      <c r="AF8" s="60">
        <f t="shared" ref="AF8" si="22">IF(AF7="Matin",1,IF(AF7="AM",1,0))</f>
        <v>1</v>
      </c>
      <c r="AG8" s="60">
        <f t="shared" ref="AG8" si="23">IF(AG7="Matin",1,IF(AG7="AM",1,0))</f>
        <v>1</v>
      </c>
      <c r="AH8" s="60">
        <f t="shared" ref="AH8" si="24">IF(AH7="Matin",1,IF(AH7="AM",1,0))</f>
        <v>1</v>
      </c>
      <c r="AI8" s="60">
        <f t="shared" ref="AI8" si="25">IF(AI7="Matin",1,IF(AI7="AM",1,0))</f>
        <v>0</v>
      </c>
      <c r="AJ8" s="60">
        <f t="shared" ref="AJ8" si="26">IF(AJ7="Matin",1,IF(AJ7="AM",1,0))</f>
        <v>0</v>
      </c>
      <c r="AK8" s="60">
        <f>SUM(AD8:AJ8)</f>
        <v>5</v>
      </c>
      <c r="AL8" s="60"/>
      <c r="AM8" s="60">
        <f t="shared" ref="AM8" si="27">IF(AM7="Matin",1,IF(AM7="AM",1,0))</f>
        <v>1</v>
      </c>
      <c r="AN8" s="60">
        <f t="shared" ref="AN8" si="28">IF(AN7="Matin",1,IF(AN7="AM",1,0))</f>
        <v>1</v>
      </c>
      <c r="AO8" s="60">
        <f t="shared" ref="AO8" si="29">IF(AO7="Matin",1,IF(AO7="AM",1,0))</f>
        <v>1</v>
      </c>
      <c r="AP8" s="60">
        <f t="shared" ref="AP8" si="30">IF(AP7="Matin",1,IF(AP7="AM",1,0))</f>
        <v>0</v>
      </c>
      <c r="AQ8" s="60">
        <f t="shared" ref="AQ8" si="31">IF(AQ7="Matin",1,IF(AQ7="AM",1,0))</f>
        <v>0</v>
      </c>
      <c r="AR8" s="60">
        <f t="shared" ref="AR8" si="32">IF(AR7="Matin",1,IF(AR7="AM",1,0))</f>
        <v>0</v>
      </c>
      <c r="AS8" s="60">
        <f t="shared" ref="AS8" si="33">IF(AS7="Matin",1,IF(AS7="AM",1,0))</f>
        <v>0</v>
      </c>
      <c r="AT8" s="60">
        <f>SUM(AM8:AS8)</f>
        <v>3</v>
      </c>
      <c r="AU8" s="60"/>
      <c r="AV8" s="60">
        <f t="shared" ref="AV8" si="34">IF(AV7="Matin",1,IF(AV7="AM",1,0))</f>
        <v>0</v>
      </c>
      <c r="AW8" s="60">
        <f t="shared" ref="AW8" si="35">IF(AW7="Matin",1,IF(AW7="AM",1,0))</f>
        <v>0</v>
      </c>
      <c r="AX8" s="60">
        <f t="shared" ref="AX8:AX15" si="36">SUM(AV8:AW8)</f>
        <v>0</v>
      </c>
      <c r="AY8" s="60">
        <f>J8+S8+AB8+AK8+AT8+AX8</f>
        <v>14</v>
      </c>
      <c r="AZ8" s="31"/>
      <c r="BA8" s="31"/>
      <c r="BB8" s="31"/>
      <c r="BC8" s="31"/>
      <c r="BD8" s="31"/>
      <c r="BE8" s="31"/>
      <c r="BF8" s="31"/>
      <c r="BG8" s="34"/>
    </row>
    <row r="9" spans="1:59" s="33" customFormat="1" ht="15" customHeight="1" x14ac:dyDescent="0.25">
      <c r="A9" s="21" t="s">
        <v>4</v>
      </c>
      <c r="B9" s="81"/>
      <c r="C9" s="60">
        <f>IF(C10&gt;=1,1,0)</f>
        <v>1</v>
      </c>
      <c r="D9" s="60">
        <f>IF(D10&gt;=1,1,0)</f>
        <v>1</v>
      </c>
      <c r="E9" s="60">
        <f t="shared" ref="E9:I9" si="37">IF(E10&gt;=1,1,0)</f>
        <v>1</v>
      </c>
      <c r="F9" s="60">
        <f t="shared" si="37"/>
        <v>0</v>
      </c>
      <c r="G9" s="60">
        <f t="shared" si="37"/>
        <v>0</v>
      </c>
      <c r="H9" s="60">
        <f t="shared" si="37"/>
        <v>0</v>
      </c>
      <c r="I9" s="60">
        <f t="shared" si="37"/>
        <v>0</v>
      </c>
      <c r="J9" s="60">
        <f t="shared" ref="J9:J19" si="38">SUM(C9:I9)</f>
        <v>3</v>
      </c>
      <c r="K9" s="60"/>
      <c r="L9" s="60">
        <f>IF(L10&gt;=1,1,0)</f>
        <v>1</v>
      </c>
      <c r="M9" s="60">
        <f t="shared" ref="M9" si="39">IF(M10&gt;=1,1,0)</f>
        <v>1</v>
      </c>
      <c r="N9" s="60">
        <f t="shared" ref="N9" si="40">IF(N10&gt;=1,1,0)</f>
        <v>1</v>
      </c>
      <c r="O9" s="60">
        <f t="shared" ref="O9" si="41">IF(O10&gt;=1,1,0)</f>
        <v>1</v>
      </c>
      <c r="P9" s="60">
        <f t="shared" ref="P9" si="42">IF(P10&gt;=1,1,0)</f>
        <v>1</v>
      </c>
      <c r="Q9" s="60">
        <f t="shared" ref="Q9" si="43">IF(Q10&gt;=1,1,0)</f>
        <v>0</v>
      </c>
      <c r="R9" s="60">
        <f t="shared" ref="R9" si="44">IF(R10&gt;=1,1,0)</f>
        <v>0</v>
      </c>
      <c r="S9" s="60">
        <f t="shared" ref="S9:S19" si="45">SUM(L9:R9)</f>
        <v>5</v>
      </c>
      <c r="T9" s="60"/>
      <c r="U9" s="60">
        <f>IF(U10&gt;=1,1,0)</f>
        <v>1</v>
      </c>
      <c r="V9" s="60">
        <f t="shared" ref="V9" si="46">IF(V10&gt;=1,1,0)</f>
        <v>0</v>
      </c>
      <c r="W9" s="60">
        <f t="shared" ref="W9" si="47">IF(W10&gt;=1,1,0)</f>
        <v>0</v>
      </c>
      <c r="X9" s="60">
        <f t="shared" ref="X9" si="48">IF(X10&gt;=1,1,0)</f>
        <v>1</v>
      </c>
      <c r="Y9" s="60">
        <f t="shared" ref="Y9" si="49">IF(Y10&gt;=1,1,0)</f>
        <v>1</v>
      </c>
      <c r="Z9" s="60">
        <f t="shared" ref="Z9" si="50">IF(Z10&gt;=1,1,0)</f>
        <v>0</v>
      </c>
      <c r="AA9" s="60">
        <f t="shared" ref="AA9" si="51">IF(AA10&gt;=1,1,0)</f>
        <v>0</v>
      </c>
      <c r="AB9" s="60">
        <f t="shared" ref="AB9:AB19" si="52">SUM(U9:AA9)</f>
        <v>3</v>
      </c>
      <c r="AC9" s="60"/>
      <c r="AD9" s="60">
        <f>IF(AD10&gt;=1,1,0)</f>
        <v>1</v>
      </c>
      <c r="AE9" s="60">
        <f t="shared" ref="AE9" si="53">IF(AE10&gt;=1,1,0)</f>
        <v>1</v>
      </c>
      <c r="AF9" s="60">
        <f t="shared" ref="AF9" si="54">IF(AF10&gt;=1,1,0)</f>
        <v>1</v>
      </c>
      <c r="AG9" s="60">
        <f t="shared" ref="AG9" si="55">IF(AG10&gt;=1,1,0)</f>
        <v>1</v>
      </c>
      <c r="AH9" s="60">
        <f t="shared" ref="AH9" si="56">IF(AH10&gt;=1,1,0)</f>
        <v>1</v>
      </c>
      <c r="AI9" s="60">
        <f t="shared" ref="AI9" si="57">IF(AI10&gt;=1,1,0)</f>
        <v>0</v>
      </c>
      <c r="AJ9" s="60">
        <f t="shared" ref="AJ9" si="58">IF(AJ10&gt;=1,1,0)</f>
        <v>0</v>
      </c>
      <c r="AK9" s="60">
        <f t="shared" ref="AK9:AK19" si="59">SUM(AD9:AJ9)</f>
        <v>5</v>
      </c>
      <c r="AL9" s="60"/>
      <c r="AM9" s="60">
        <f>IF(AM10&gt;=1,1,0)</f>
        <v>1</v>
      </c>
      <c r="AN9" s="60">
        <f t="shared" ref="AN9" si="60">IF(AN10&gt;=1,1,0)</f>
        <v>1</v>
      </c>
      <c r="AO9" s="60">
        <f t="shared" ref="AO9" si="61">IF(AO10&gt;=1,1,0)</f>
        <v>1</v>
      </c>
      <c r="AP9" s="60">
        <f t="shared" ref="AP9" si="62">IF(AP10&gt;=1,1,0)</f>
        <v>0</v>
      </c>
      <c r="AQ9" s="60">
        <f t="shared" ref="AQ9" si="63">IF(AQ10&gt;=1,1,0)</f>
        <v>0</v>
      </c>
      <c r="AR9" s="60">
        <f t="shared" ref="AR9" si="64">IF(AR10&gt;=1,1,0)</f>
        <v>0</v>
      </c>
      <c r="AS9" s="60">
        <f t="shared" ref="AS9" si="65">IF(AS10&gt;=1,1,0)</f>
        <v>0</v>
      </c>
      <c r="AT9" s="60">
        <f t="shared" ref="AT9:AT19" si="66">SUM(AM9:AS9)</f>
        <v>3</v>
      </c>
      <c r="AU9" s="60"/>
      <c r="AV9" s="60">
        <f>IF(AV10&gt;=1,1,0)</f>
        <v>1</v>
      </c>
      <c r="AW9" s="60">
        <f t="shared" ref="AW9" si="67">IF(AW10&gt;=1,1,0)</f>
        <v>1</v>
      </c>
      <c r="AX9" s="60">
        <f t="shared" si="36"/>
        <v>2</v>
      </c>
      <c r="AY9" s="60">
        <f t="shared" ref="AY9:AY18" si="68">J9+S9+AB9+AK9+AT9+AX9</f>
        <v>21</v>
      </c>
      <c r="AZ9" s="52"/>
      <c r="BA9" s="52"/>
      <c r="BB9" s="52"/>
      <c r="BC9" s="52"/>
      <c r="BD9" s="52"/>
      <c r="BE9" s="52"/>
      <c r="BF9" s="35"/>
    </row>
    <row r="10" spans="1:59" s="33" customFormat="1" ht="15" customHeight="1" x14ac:dyDescent="0.25">
      <c r="A10" s="21" t="s">
        <v>3</v>
      </c>
      <c r="B10" s="81"/>
      <c r="C10" s="60">
        <f>IF(C7="Matin",8,IF(C7="AM",8,IF(C7="nuit",8,0)))</f>
        <v>8</v>
      </c>
      <c r="D10" s="60">
        <f t="shared" ref="D10:I10" si="69">IF(D7="Matin",8,IF(D7="AM",8,IF(D7="nuit",8,0)))</f>
        <v>8</v>
      </c>
      <c r="E10" s="60">
        <f t="shared" si="69"/>
        <v>8</v>
      </c>
      <c r="F10" s="60">
        <f t="shared" si="69"/>
        <v>0</v>
      </c>
      <c r="G10" s="60">
        <f t="shared" si="69"/>
        <v>0</v>
      </c>
      <c r="H10" s="60">
        <f t="shared" si="69"/>
        <v>0</v>
      </c>
      <c r="I10" s="60">
        <f t="shared" si="69"/>
        <v>0</v>
      </c>
      <c r="J10" s="60">
        <f t="shared" si="38"/>
        <v>24</v>
      </c>
      <c r="K10" s="60"/>
      <c r="L10" s="60">
        <f>IF(L7="Matin",8,IF(L7="AM",8,IF(L7="nuit",8,0)))</f>
        <v>8</v>
      </c>
      <c r="M10" s="60">
        <f t="shared" ref="M10:R10" si="70">IF(M7="Matin",8,IF(M7="AM",8,IF(M7="nuit",8,0)))</f>
        <v>8</v>
      </c>
      <c r="N10" s="60">
        <f t="shared" si="70"/>
        <v>8</v>
      </c>
      <c r="O10" s="60">
        <f t="shared" si="70"/>
        <v>8</v>
      </c>
      <c r="P10" s="60">
        <f t="shared" si="70"/>
        <v>8</v>
      </c>
      <c r="Q10" s="60">
        <f t="shared" si="70"/>
        <v>0</v>
      </c>
      <c r="R10" s="60">
        <f t="shared" si="70"/>
        <v>0</v>
      </c>
      <c r="S10" s="60">
        <f t="shared" si="45"/>
        <v>40</v>
      </c>
      <c r="T10" s="60"/>
      <c r="U10" s="60">
        <f>IF(U7="Matin",8,IF(U7="AM",8,IF(U7="nuit",8,0)))</f>
        <v>8</v>
      </c>
      <c r="V10" s="60">
        <f t="shared" ref="V10:AA10" si="71">IF(V7="Matin",8,IF(V7="AM",8,IF(V7="nuit",8,0)))</f>
        <v>0</v>
      </c>
      <c r="W10" s="60">
        <f t="shared" si="71"/>
        <v>0</v>
      </c>
      <c r="X10" s="60">
        <f t="shared" si="71"/>
        <v>8</v>
      </c>
      <c r="Y10" s="60">
        <f t="shared" si="71"/>
        <v>8</v>
      </c>
      <c r="Z10" s="60">
        <f t="shared" si="71"/>
        <v>0</v>
      </c>
      <c r="AA10" s="60">
        <f t="shared" si="71"/>
        <v>0</v>
      </c>
      <c r="AB10" s="60">
        <f t="shared" si="52"/>
        <v>24</v>
      </c>
      <c r="AC10" s="60"/>
      <c r="AD10" s="60">
        <f>IF(AD7="Matin",8,IF(AD7="AM",8,IF(AD7="nuit",8,0)))</f>
        <v>8</v>
      </c>
      <c r="AE10" s="60">
        <f t="shared" ref="AE10:AJ10" si="72">IF(AE7="Matin",8,IF(AE7="AM",8,IF(AE7="nuit",8,0)))</f>
        <v>8</v>
      </c>
      <c r="AF10" s="60">
        <f t="shared" si="72"/>
        <v>8</v>
      </c>
      <c r="AG10" s="60">
        <f t="shared" si="72"/>
        <v>8</v>
      </c>
      <c r="AH10" s="60">
        <f t="shared" si="72"/>
        <v>8</v>
      </c>
      <c r="AI10" s="60">
        <f t="shared" si="72"/>
        <v>0</v>
      </c>
      <c r="AJ10" s="60">
        <f t="shared" si="72"/>
        <v>0</v>
      </c>
      <c r="AK10" s="60">
        <f t="shared" si="59"/>
        <v>40</v>
      </c>
      <c r="AL10" s="60"/>
      <c r="AM10" s="60">
        <f>IF(AM7="Matin",8,IF(AM7="AM",8,IF(AM7="nuit",8,0)))</f>
        <v>8</v>
      </c>
      <c r="AN10" s="60">
        <f t="shared" ref="AN10:AS10" si="73">IF(AN7="Matin",8,IF(AN7="AM",8,IF(AN7="nuit",8,0)))</f>
        <v>8</v>
      </c>
      <c r="AO10" s="60">
        <f t="shared" si="73"/>
        <v>8</v>
      </c>
      <c r="AP10" s="60">
        <f t="shared" si="73"/>
        <v>0</v>
      </c>
      <c r="AQ10" s="60">
        <f t="shared" si="73"/>
        <v>0</v>
      </c>
      <c r="AR10" s="60">
        <f t="shared" si="73"/>
        <v>0</v>
      </c>
      <c r="AS10" s="60">
        <f t="shared" si="73"/>
        <v>0</v>
      </c>
      <c r="AT10" s="60">
        <f t="shared" si="66"/>
        <v>24</v>
      </c>
      <c r="AU10" s="60"/>
      <c r="AV10" s="31">
        <f>IF(AV7="Matin",8,IF(AV7="AM",8,IF(AV7="nuit",8,0)))</f>
        <v>8</v>
      </c>
      <c r="AW10" s="31">
        <f t="shared" ref="AW10" si="74">IF(AW7="Matin",8,IF(AW7="AM",8,IF(AW7="nuit",8,0)))</f>
        <v>8</v>
      </c>
      <c r="AX10" s="60">
        <f t="shared" si="36"/>
        <v>16</v>
      </c>
      <c r="AY10" s="60">
        <f t="shared" si="68"/>
        <v>168</v>
      </c>
      <c r="AZ10" s="52"/>
      <c r="BA10" s="52"/>
      <c r="BB10" s="52"/>
      <c r="BC10" s="52"/>
      <c r="BD10" s="52"/>
      <c r="BE10" s="52"/>
      <c r="BF10" s="35"/>
    </row>
    <row r="11" spans="1:59" s="33" customFormat="1" ht="15" customHeight="1" x14ac:dyDescent="0.25">
      <c r="A11" s="36" t="s">
        <v>20</v>
      </c>
      <c r="B11" s="82"/>
      <c r="C11" s="66">
        <f>IF(C5&lt;&gt;"Dim",IF(C10&gt;32,MIN(C10,35)-32,0),0)</f>
        <v>0</v>
      </c>
      <c r="D11" s="66">
        <f>IF(D5&lt;&gt;"Dim",IF(SUM($C10:D10)&gt;32,MIN(SUM($C10:D10),35)-32-SUM($C11:C11),0),0)</f>
        <v>0</v>
      </c>
      <c r="E11" s="66">
        <f>IF(E5&lt;&gt;"Dim",IF(SUM($C10:E10)&gt;32,MIN(SUM($C10:E10),35)-32-SUM($C11:D11),0),0)</f>
        <v>0</v>
      </c>
      <c r="F11" s="66">
        <f>IF(F5&lt;&gt;"Dim",IF(SUM($C10:F10)&gt;32,MIN(SUM($C10:F10),35)-32-SUM($C11:E11),0),0)</f>
        <v>0</v>
      </c>
      <c r="G11" s="66">
        <f>IF(G5&lt;&gt;"Dim",IF(SUM($C10:G10)&gt;32,MIN(SUM($C10:G10),35)-32-SUM($C11:F11),0),0)</f>
        <v>0</v>
      </c>
      <c r="H11" s="66">
        <f>IF(H5&lt;&gt;"Dim",IF(SUM($C10:H10)&gt;32,MIN(SUM($C10:H10),35)-32-SUM($C11:G11),0),0)</f>
        <v>0</v>
      </c>
      <c r="I11" s="66">
        <f>IF(I5&lt;&gt;"Dim",IF(SUM($C10:I10)&gt;32,MIN(SUM($C10:I10),35)-32-SUM($C11:H11),0),0)</f>
        <v>0</v>
      </c>
      <c r="J11" s="60">
        <f t="shared" si="38"/>
        <v>0</v>
      </c>
      <c r="K11" s="60"/>
      <c r="L11" s="66">
        <f>IF(L5&lt;&gt;"Dim",IF(L10&gt;32,MIN(L10,35)-32,0),0)</f>
        <v>0</v>
      </c>
      <c r="M11" s="66">
        <f>IF(M5&lt;&gt;"Dim",IF(SUM($L10:M10)&gt;32,MIN(SUM($L10:M10),35)-32-SUM($L11:L11),0),0)</f>
        <v>0</v>
      </c>
      <c r="N11" s="66">
        <f>IF(N5&lt;&gt;"Dim",IF(SUM($L10:N10)&gt;32,MIN(SUM($L10:N10),35)-32-SUM($L11:M11),0),0)</f>
        <v>0</v>
      </c>
      <c r="O11" s="66">
        <f>IF(O5&lt;&gt;"Dim",IF(SUM($L10:O10)&gt;32,MIN(SUM($L10:O10),35)-32-SUM($L11:N11),0),0)</f>
        <v>0</v>
      </c>
      <c r="P11" s="66">
        <f>IF(P5&lt;&gt;"Dim",IF(SUM($L10:P10)&gt;32,MIN(SUM($L10:P10),35)-32-SUM($L11:O11),0),0)</f>
        <v>3</v>
      </c>
      <c r="Q11" s="66">
        <f>IF(Q5&lt;&gt;"Dim",IF(SUM($L10:Q10)&gt;32,MIN(SUM($L10:Q10),35)-32-SUM($L11:P11),0),0)</f>
        <v>0</v>
      </c>
      <c r="R11" s="66">
        <f>IF(R5&lt;&gt;"Dim",IF(SUM($L10:R10)&gt;32,MIN(SUM($L10:R10),35)-32-SUM($L11:Q11),0),0)</f>
        <v>0</v>
      </c>
      <c r="S11" s="60">
        <f t="shared" si="45"/>
        <v>3</v>
      </c>
      <c r="T11" s="60"/>
      <c r="U11" s="66">
        <f>IF(U5&lt;&gt;"Dim",IF(U10&gt;32,MIN(U10,35)-32,0),0)</f>
        <v>0</v>
      </c>
      <c r="V11" s="66">
        <f>IF(V5&lt;&gt;"Dim",IF(SUM($U10:V10)&gt;32,MIN(SUM($U10:V10),35)-32-SUM($U11:U11),0),0)</f>
        <v>0</v>
      </c>
      <c r="W11" s="66">
        <f>IF(W5&lt;&gt;"Dim",IF(SUM($U10:W10)&gt;32,MIN(SUM($U10:W10),35)-32-SUM($U11:V11),0),0)</f>
        <v>0</v>
      </c>
      <c r="X11" s="66">
        <f>IF(X5&lt;&gt;"Dim",IF(SUM($U10:X10)&gt;32,MIN(SUM($U10:X10),35)-32-SUM($U11:W11),0),0)</f>
        <v>0</v>
      </c>
      <c r="Y11" s="66">
        <f>IF(Y5&lt;&gt;"Dim",IF(SUM($U10:Y10)&gt;32,MIN(SUM($U10:Y10),35)-32-SUM($U11:X11),0),0)</f>
        <v>0</v>
      </c>
      <c r="Z11" s="66">
        <f>IF(Z5&lt;&gt;"Dim",IF(SUM($U10:Z10)&gt;32,MIN(SUM($U10:Z10),35)-32-SUM($U11:Y11),0),0)</f>
        <v>0</v>
      </c>
      <c r="AA11" s="66">
        <f>IF(AA5&lt;&gt;"Dim",IF(SUM($U10:AA10)&gt;32,MIN(SUM($U10:AA10),35)-32-SUM($U11:Z11),0),0)</f>
        <v>0</v>
      </c>
      <c r="AB11" s="60">
        <f t="shared" si="52"/>
        <v>0</v>
      </c>
      <c r="AC11" s="60"/>
      <c r="AD11" s="66">
        <f>IF(AD5&lt;&gt;"Dim",IF(AD10&gt;32,MIN(AD10,35)-32,0),0)</f>
        <v>0</v>
      </c>
      <c r="AE11" s="66">
        <f>IF(AE5&lt;&gt;"Dim",IF(SUM($AD10:AE10)&gt;32,MIN(SUM($AD10:AE10),35)-32-SUM($AD11:AD11),0),0)</f>
        <v>0</v>
      </c>
      <c r="AF11" s="66">
        <f>IF(AF5&lt;&gt;"Dim",IF(SUM($AD10:AF10)&gt;32,MIN(SUM($AD10:AF10),35)-32-SUM($AD11:AE11),0),0)</f>
        <v>0</v>
      </c>
      <c r="AG11" s="66">
        <f>IF(AG5&lt;&gt;"Dim",IF(SUM($AD10:AG10)&gt;32,MIN(SUM($AD10:AG10),35)-32-SUM($AD11:AF11),0),0)</f>
        <v>0</v>
      </c>
      <c r="AH11" s="66">
        <f>IF(AH5&lt;&gt;"Dim",IF(SUM($AD10:AH10)&gt;32,MIN(SUM($AD10:AH10),35)-32-SUM($AD11:AG11),0),0)</f>
        <v>3</v>
      </c>
      <c r="AI11" s="66">
        <f>IF(AI5&lt;&gt;"Dim",IF(SUM($AD10:AI10)&gt;32,MIN(SUM($AD10:AI10),35)-32-SUM($AD11:AH11),0),0)</f>
        <v>0</v>
      </c>
      <c r="AJ11" s="66">
        <f>IF(AJ5&lt;&gt;"Dim",IF(SUM($AD10:AJ10)&gt;32,MIN(SUM($AD10:AJ10),35)-32-SUM($AD11:AI11),0),0)</f>
        <v>0</v>
      </c>
      <c r="AK11" s="60">
        <f t="shared" si="59"/>
        <v>3</v>
      </c>
      <c r="AL11" s="60"/>
      <c r="AM11" s="66">
        <f>IF(AM5&lt;&gt;"Dim",IF(AM10&gt;32,MIN(AM10,35)-32,0),0)</f>
        <v>0</v>
      </c>
      <c r="AN11" s="66">
        <f>IF(AN5&lt;&gt;"Dim",IF(SUM($AM10:AN10)&gt;32,MIN(SUM($AM10:AN10),35)-32-SUM($AM11:AM11),0),0)</f>
        <v>0</v>
      </c>
      <c r="AO11" s="66">
        <f>IF(AO5&lt;&gt;"Dim",IF(SUM($AM10:AO10)&gt;32,MIN(SUM($AM10:AO10),35)-32-SUM($AM11:AN11),0),0)</f>
        <v>0</v>
      </c>
      <c r="AP11" s="66">
        <f>IF(AP5&lt;&gt;"Dim",IF(SUM($AM10:AP10)&gt;32,MIN(SUM($AM10:AP10),35)-32-SUM($AM11:AO11),0),0)</f>
        <v>0</v>
      </c>
      <c r="AQ11" s="66">
        <f>IF(AQ5&lt;&gt;"Dim",IF(SUM($AM10:AQ10)&gt;32,MIN(SUM($AM10:AQ10),35)-32-SUM($AM11:AP11),0),0)</f>
        <v>0</v>
      </c>
      <c r="AR11" s="66">
        <f>IF(AR5&lt;&gt;"Dim",IF(SUM($AM10:AR10)&gt;32,MIN(SUM($AM10:AR10),35)-32-SUM($AM11:AQ11),0),0)</f>
        <v>0</v>
      </c>
      <c r="AS11" s="66">
        <f>IF(AS5&lt;&gt;"Dim",IF(SUM($AM10:AS10)&gt;32,MIN(SUM($AM10:AS10),35)-32-SUM($AM11:AR11),0),0)</f>
        <v>0</v>
      </c>
      <c r="AT11" s="60">
        <f t="shared" si="66"/>
        <v>0</v>
      </c>
      <c r="AU11" s="60"/>
      <c r="AV11" s="66">
        <f>IF(AV5&lt;&gt;"Dim",IF(AV10&gt;32,MIN(AV10,35)-32,0),0)</f>
        <v>0</v>
      </c>
      <c r="AW11" s="66">
        <f>IF(AW5&lt;&gt;"Dim",IF(SUM($AV10:AW10)&gt;32,MIN(SUM($AV10:AW10),35)-32-SUM($AV11:AV11),0),0)</f>
        <v>0</v>
      </c>
      <c r="AX11" s="60">
        <f t="shared" si="36"/>
        <v>0</v>
      </c>
      <c r="AY11" s="60">
        <f t="shared" si="68"/>
        <v>6</v>
      </c>
      <c r="AZ11" s="52"/>
      <c r="BA11" s="52"/>
      <c r="BB11" s="52"/>
      <c r="BC11" s="52"/>
      <c r="BD11" s="52"/>
      <c r="BE11" s="52"/>
      <c r="BF11" s="35"/>
    </row>
    <row r="12" spans="1:59" s="33" customFormat="1" ht="15" customHeight="1" x14ac:dyDescent="0.25">
      <c r="A12" s="21" t="s">
        <v>6</v>
      </c>
      <c r="B12" s="81"/>
      <c r="C12" s="66">
        <f>IF(C5&lt;&gt;"Dim",IF(C10&gt;35,(MIN(C10,43)-35),0),0)</f>
        <v>0</v>
      </c>
      <c r="D12" s="66">
        <f>IF(D5&lt;&gt;"Dim",IF(SUM($C10:D10)&gt;35,(MIN(SUM($C10:D10),43)-35-SUM($C12:C12)),0),0)</f>
        <v>0</v>
      </c>
      <c r="E12" s="66">
        <f>IF(E5&lt;&gt;"Dim",IF(SUM($C10:E10)&gt;35,(MIN(SUM($C10:E10),43)-35-SUM($C12:D12)),0),0)</f>
        <v>0</v>
      </c>
      <c r="F12" s="66">
        <f>IF(F5&lt;&gt;"Dim",IF(SUM($C10:F10)&gt;35,(MIN(SUM($C10:F10),43)-35-SUM($C12:E12)),0),0)</f>
        <v>0</v>
      </c>
      <c r="G12" s="66">
        <f>IF(G5&lt;&gt;"Dim",IF(SUM($C10:G10)&gt;35,(MIN(SUM($C10:G10),43)-35-SUM($C12:F12)),0),0)</f>
        <v>0</v>
      </c>
      <c r="H12" s="66">
        <f>IF(H5&lt;&gt;"Dim",IF(SUM($C10:H10)&gt;35,(MIN(SUM($C10:H10),43)-35-SUM($C12:G12)),0),0)</f>
        <v>0</v>
      </c>
      <c r="I12" s="66">
        <f>IF(I5&lt;&gt;"Dim",IF(SUM($C10:I10)&gt;35,(MIN(SUM($C10:I10),43)-35-SUM($C12:H12)),0),0)</f>
        <v>0</v>
      </c>
      <c r="J12" s="60">
        <f t="shared" si="38"/>
        <v>0</v>
      </c>
      <c r="K12" s="60"/>
      <c r="L12" s="66">
        <f>IF(L5&lt;&gt;"Dim",IF(L10&gt;35,(MIN(L10,43)-35),0),0)</f>
        <v>0</v>
      </c>
      <c r="M12" s="66">
        <f>IF(M5&lt;&gt;"Dim",IF(SUM($L10:M10)&gt;35,(MIN(SUM($L10:M10),43)-35-SUM($L12:L12)),0),0)</f>
        <v>0</v>
      </c>
      <c r="N12" s="66">
        <f>IF(N5&lt;&gt;"Dim",IF(SUM($L10:N10)&gt;35,(MIN(SUM($L10:N10),43)-35-SUM($L12:M12)),0),0)</f>
        <v>0</v>
      </c>
      <c r="O12" s="66">
        <f>IF(O5&lt;&gt;"Dim",IF(SUM($L10:O10)&gt;35,(MIN(SUM($L10:O10),43)-35-SUM($L12:N12)),0),0)</f>
        <v>0</v>
      </c>
      <c r="P12" s="66">
        <f>IF(P5&lt;&gt;"Dim",IF(SUM($L10:P10)&gt;35,(MIN(SUM($L10:P10),43)-35-SUM($L12:O12)),0),0)</f>
        <v>5</v>
      </c>
      <c r="Q12" s="66">
        <f>IF(Q5&lt;&gt;"Dim",IF(SUM($L10:Q10)&gt;35,(MIN(SUM($L10:Q10),43)-35-SUM($L12:P12)),0),0)</f>
        <v>0</v>
      </c>
      <c r="R12" s="66">
        <f>IF(R5&lt;&gt;"Dim",IF(SUM($L10:R10)&gt;35,(MIN(SUM($L10:R10),43)-35-SUM($L12:Q12)),0),0)</f>
        <v>0</v>
      </c>
      <c r="S12" s="60">
        <f t="shared" si="45"/>
        <v>5</v>
      </c>
      <c r="T12" s="60"/>
      <c r="U12" s="66">
        <f>IF(U5&lt;&gt;"Dim",IF(U10&gt;35,(MIN(U10,43)-35),0),0)</f>
        <v>0</v>
      </c>
      <c r="V12" s="66">
        <f>IF(V5&lt;&gt;"Dim",IF(SUM($U10:V10)&gt;35,(MIN(SUM($U10:V10),43)-35-SUM($U12:U12)),0),0)</f>
        <v>0</v>
      </c>
      <c r="W12" s="66">
        <f>IF(W5&lt;&gt;"Dim",IF(SUM($U10:W10)&gt;35,(MIN(SUM($U10:W10),43)-35-SUM($U12:V12)),0),0)</f>
        <v>0</v>
      </c>
      <c r="X12" s="66">
        <f>IF(X5&lt;&gt;"Dim",IF(SUM($U10:X10)&gt;35,(MIN(SUM($U10:X10),43)-35-SUM($U12:W12)),0),0)</f>
        <v>0</v>
      </c>
      <c r="Y12" s="66">
        <f>IF(Y5&lt;&gt;"Dim",IF(SUM($U10:Y10)&gt;35,(MIN(SUM($U10:Y10),43)-35-SUM($U12:X12)),0),0)</f>
        <v>0</v>
      </c>
      <c r="Z12" s="66">
        <f>IF(Z5&lt;&gt;"Dim",IF(SUM($U10:Z10)&gt;35,(MIN(SUM($U10:Z10),43)-35-SUM($U12:Y12)),0),0)</f>
        <v>0</v>
      </c>
      <c r="AA12" s="66">
        <f>IF(AA5&lt;&gt;"Dim",IF(SUM($U10:AA10)&gt;35,(MIN(SUM($U10:AA10),43)-35-SUM($U12:Z12)),0),0)</f>
        <v>0</v>
      </c>
      <c r="AB12" s="60">
        <f t="shared" si="52"/>
        <v>0</v>
      </c>
      <c r="AC12" s="60"/>
      <c r="AD12" s="66">
        <f>IF(AD5&lt;&gt;"Dim",IF(AD10&gt;35,(MIN(AD10,43)-35),0),0)</f>
        <v>0</v>
      </c>
      <c r="AE12" s="66">
        <f>IF(AE5&lt;&gt;"Dim",IF(SUM($AD10:AE10)&gt;35,(MIN(SUM($AD10:AE10),43)-35-SUM($AD12:AD12)),0),0)</f>
        <v>0</v>
      </c>
      <c r="AF12" s="66">
        <f>IF(AF5&lt;&gt;"Dim",IF(SUM($AD10:AF10)&gt;35,(MIN(SUM($AD10:AF10),43)-35-SUM($AD12:AE12)),0),0)</f>
        <v>0</v>
      </c>
      <c r="AG12" s="66">
        <f>IF(AG5&lt;&gt;"Dim",IF(SUM($AD10:AG10)&gt;35,(MIN(SUM($AD10:AG10),43)-35-SUM($AD12:AF12)),0),0)</f>
        <v>0</v>
      </c>
      <c r="AH12" s="66">
        <f>IF(AH5&lt;&gt;"Dim",IF(SUM($AD10:AH10)&gt;35,(MIN(SUM($AD10:AH10),43)-35-SUM($AD12:AG12)),0),0)</f>
        <v>5</v>
      </c>
      <c r="AI12" s="66">
        <f>IF(AI5&lt;&gt;"Dim",IF(SUM($AD10:AI10)&gt;35,(MIN(SUM($AD10:AI10),43)-35-SUM($AD12:AH12)),0),0)</f>
        <v>0</v>
      </c>
      <c r="AJ12" s="66">
        <f>IF(AJ5&lt;&gt;"Dim",IF(SUM($AD10:AJ10)&gt;35,(MIN(SUM($AD10:AJ10),43)-35-SUM($AD12:AI12)),0),0)</f>
        <v>0</v>
      </c>
      <c r="AK12" s="60">
        <f t="shared" si="59"/>
        <v>5</v>
      </c>
      <c r="AL12" s="60"/>
      <c r="AM12" s="66">
        <f>IF(AM5&lt;&gt;"Dim",IF(AM10&gt;35,(MIN(AM10,43)-35),0),0)</f>
        <v>0</v>
      </c>
      <c r="AN12" s="66">
        <f>IF(AN5&lt;&gt;"Dim",IF(SUM($AM10:AN10)&gt;35,(MIN(SUM($AM10:AN10),43)-35-SUM($AM12:AM12)),0),0)</f>
        <v>0</v>
      </c>
      <c r="AO12" s="66">
        <f>IF(AO5&lt;&gt;"Dim",IF(SUM($AM10:AO10)&gt;35,(MIN(SUM($AM10:AO10),43)-35-SUM($AM12:AN12)),0),0)</f>
        <v>0</v>
      </c>
      <c r="AP12" s="66">
        <f>IF(AP5&lt;&gt;"Dim",IF(SUM($AM10:AP10)&gt;35,(MIN(SUM($AM10:AP10),43)-35-SUM($AM12:AO12)),0),0)</f>
        <v>0</v>
      </c>
      <c r="AQ12" s="66">
        <f>IF(AQ5&lt;&gt;"Dim",IF(SUM($AM10:AQ10)&gt;35,(MIN(SUM($AM10:AQ10),43)-35-SUM($AM12:AP12)),0),0)</f>
        <v>0</v>
      </c>
      <c r="AR12" s="66">
        <f>IF(AR5&lt;&gt;"Dim",IF(SUM($AM10:AR10)&gt;35,(MIN(SUM($AM10:AR10),43)-35-SUM($AM12:AQ12)),0),0)</f>
        <v>0</v>
      </c>
      <c r="AS12" s="66">
        <f>IF(AS5&lt;&gt;"Dim",IF(SUM($AM10:AS10)&gt;35,(MIN(SUM($AM10:AS10),43)-35-SUM($AM12:AR12)),0),0)</f>
        <v>0</v>
      </c>
      <c r="AT12" s="60">
        <f t="shared" si="66"/>
        <v>0</v>
      </c>
      <c r="AU12" s="60"/>
      <c r="AV12" s="66">
        <f>IF(AV5&lt;&gt;"Dim",IF(AV10&gt;35,(MIN(AV10,43)-35),0),0)</f>
        <v>0</v>
      </c>
      <c r="AW12" s="66">
        <f>IF(AW5&lt;&gt;"Dim",IF(SUM($AV10:AW10)&gt;35,(MIN(SUM($AV10:AW10),43)-35-SUM($AV12:AV12)),0),0)</f>
        <v>0</v>
      </c>
      <c r="AX12" s="60">
        <f t="shared" si="36"/>
        <v>0</v>
      </c>
      <c r="AY12" s="60">
        <f t="shared" si="68"/>
        <v>10</v>
      </c>
      <c r="AZ12" s="52"/>
      <c r="BA12" s="52"/>
      <c r="BB12" s="52"/>
      <c r="BC12" s="52"/>
      <c r="BD12" s="52"/>
      <c r="BE12" s="52"/>
      <c r="BF12" s="35"/>
    </row>
    <row r="13" spans="1:59" s="33" customFormat="1" ht="15" customHeight="1" x14ac:dyDescent="0.25">
      <c r="A13" s="21" t="s">
        <v>5</v>
      </c>
      <c r="B13" s="81"/>
      <c r="C13" s="66">
        <f>IF(C5&lt;&gt;"Dim",IF(C10&gt;43,(MIN(C10,48)-43),0),0)</f>
        <v>0</v>
      </c>
      <c r="D13" s="66">
        <f>IF(D5&lt;&gt;"Dim",IF(SUM($C10:D10)&gt;43,(MIN(SUM($C10:D10),48)-43-SUM($C13:C13)),0),0)</f>
        <v>0</v>
      </c>
      <c r="E13" s="66">
        <f>IF(E5&lt;&gt;"Dim",IF(SUM($C10:E10)&gt;43,(MIN(SUM($C10:E10),48)-43-SUM($C13:D13)),0),0)</f>
        <v>0</v>
      </c>
      <c r="F13" s="66">
        <f>IF(F5&lt;&gt;"Dim",IF(SUM($C10:F10)&gt;43,(MIN(SUM($C10:F10),48)-43-SUM($C13:E13)),0),0)</f>
        <v>0</v>
      </c>
      <c r="G13" s="66">
        <f>IF(G5&lt;&gt;"Dim",IF(SUM($C10:G10)&gt;43,(MIN(SUM($C10:G10),48)-43-SUM($C13:F13)),0),0)</f>
        <v>0</v>
      </c>
      <c r="H13" s="66">
        <f>IF(H5&lt;&gt;"Dim",IF(SUM($C10:H10)&gt;43,(MIN(SUM($C10:H10),48)-43-SUM($C13:G13)),0),0)</f>
        <v>0</v>
      </c>
      <c r="I13" s="66">
        <f>IF(I5&lt;&gt;"Dim",IF(SUM($C10:I10)&gt;43,(MIN(SUM($C10:I10),48)-43-SUM($C13:H13)),0),0)</f>
        <v>0</v>
      </c>
      <c r="J13" s="60">
        <f t="shared" si="38"/>
        <v>0</v>
      </c>
      <c r="K13" s="60"/>
      <c r="L13" s="66">
        <f>IF(L5&lt;&gt;"Dim",IF(L10&gt;43,(MIN(L10,48)-43),0),0)</f>
        <v>0</v>
      </c>
      <c r="M13" s="66">
        <f>IF(M5&lt;&gt;"Dim",IF(SUM($L10:M10)&gt;43,(MIN(SUM($L10:M10),48)-43-SUM($L13:L13)),0),0)</f>
        <v>0</v>
      </c>
      <c r="N13" s="66">
        <f>IF(N5&lt;&gt;"Dim",IF(SUM($L10:N10)&gt;43,(MIN(SUM($L10:N10),48)-43-SUM($L13:M13)),0),0)</f>
        <v>0</v>
      </c>
      <c r="O13" s="66">
        <f>IF(O5&lt;&gt;"Dim",IF(SUM($L10:O10)&gt;43,(MIN(SUM($L10:O10),48)-43-SUM($L13:N13)),0),0)</f>
        <v>0</v>
      </c>
      <c r="P13" s="66">
        <f>IF(P5&lt;&gt;"Dim",IF(SUM($L10:P10)&gt;43,(MIN(SUM($L10:P10),48)-43-SUM($L13:O13)),0),0)</f>
        <v>0</v>
      </c>
      <c r="Q13" s="66">
        <f>IF(Q5&lt;&gt;"Dim",IF(SUM($L10:Q10)&gt;43,(MIN(SUM($L10:Q10),48)-43-SUM($L13:P13)),0),0)</f>
        <v>0</v>
      </c>
      <c r="R13" s="66">
        <f>IF(R5&lt;&gt;"Dim",IF(SUM($L10:R10)&gt;43,(MIN(SUM($L10:R10),48)-43-SUM($L13:Q13)),0),0)</f>
        <v>0</v>
      </c>
      <c r="S13" s="60">
        <f t="shared" si="45"/>
        <v>0</v>
      </c>
      <c r="T13" s="60"/>
      <c r="U13" s="66">
        <f>IF(U5&lt;&gt;"Dim",IF(U10&gt;43,(MIN(U10,48)-43),0),0)</f>
        <v>0</v>
      </c>
      <c r="V13" s="66">
        <f>IF(V5&lt;&gt;"Dim",IF(SUM($U10:V10)&gt;43,(MIN(SUM($U10:V10),48)-43-SUM($U13:U13)),0),0)</f>
        <v>0</v>
      </c>
      <c r="W13" s="66">
        <f>IF(W5&lt;&gt;"Dim",IF(SUM($U10:W10)&gt;43,(MIN(SUM($U10:W10),48)-43-SUM($U13:V13)),0),0)</f>
        <v>0</v>
      </c>
      <c r="X13" s="66">
        <f>IF(X5&lt;&gt;"Dim",IF(SUM($U10:X10)&gt;43,(MIN(SUM($U10:X10),48)-43-SUM($U13:W13)),0),0)</f>
        <v>0</v>
      </c>
      <c r="Y13" s="66">
        <f>IF(Y5&lt;&gt;"Dim",IF(SUM($U10:Y10)&gt;43,(MIN(SUM($U10:Y10),48)-43-SUM($U13:X13)),0),0)</f>
        <v>0</v>
      </c>
      <c r="Z13" s="66">
        <f>IF(Z5&lt;&gt;"Dim",IF(SUM($U10:Z10)&gt;43,(MIN(SUM($U10:Z10),48)-43-SUM($U13:Y13)),0),0)</f>
        <v>0</v>
      </c>
      <c r="AA13" s="66">
        <f>IF(AA5&lt;&gt;"Dim",IF(SUM($U10:AA10)&gt;43,(MIN(SUM($U10:AA10),48)-43-SUM($U13:Z13)),0),0)</f>
        <v>0</v>
      </c>
      <c r="AB13" s="60">
        <f t="shared" si="52"/>
        <v>0</v>
      </c>
      <c r="AC13" s="60"/>
      <c r="AD13" s="66">
        <f>IF(AD5&lt;&gt;"Dim",IF(AD10&gt;43,(MIN(AD10,48)-43),0),0)</f>
        <v>0</v>
      </c>
      <c r="AE13" s="66">
        <f>IF(AE5&lt;&gt;"Dim",IF(SUM($AD10:AE10)&gt;43,(MIN(SUM($AD10:AE10),48)-43-SUM($AD13:AD13)),0),0)</f>
        <v>0</v>
      </c>
      <c r="AF13" s="66">
        <f>IF(AF5&lt;&gt;"Dim",IF(SUM($AD10:AF10)&gt;43,(MIN(SUM($AD10:AF10),48)-43-SUM($AD13:AE13)),0),0)</f>
        <v>0</v>
      </c>
      <c r="AG13" s="66">
        <f>IF(AG5&lt;&gt;"Dim",IF(SUM($AD10:AG10)&gt;43,(MIN(SUM($AD10:AG10),48)-43-SUM($AD13:AF13)),0),0)</f>
        <v>0</v>
      </c>
      <c r="AH13" s="66">
        <f>IF(AH5&lt;&gt;"Dim",IF(SUM($AD10:AH10)&gt;43,(MIN(SUM($AD10:AH10),48)-43-SUM($AD13:AG13)),0),0)</f>
        <v>0</v>
      </c>
      <c r="AI13" s="66">
        <f>IF(AI5&lt;&gt;"Dim",IF(SUM($AD10:AI10)&gt;43,(MIN(SUM($AD10:AI10),48)-43-SUM($AD13:AH13)),0),0)</f>
        <v>0</v>
      </c>
      <c r="AJ13" s="66">
        <f>IF(AJ5&lt;&gt;"Dim",IF(SUM($AD10:AJ10)&gt;43,(MIN(SUM($AD10:AJ10),48)-43-SUM($AD13:AI13)),0),0)</f>
        <v>0</v>
      </c>
      <c r="AK13" s="60">
        <f t="shared" si="59"/>
        <v>0</v>
      </c>
      <c r="AL13" s="60"/>
      <c r="AM13" s="66">
        <f>IF(AM5&lt;&gt;"Dim",IF(AM10&gt;43,(MIN(AM10,48)-43),0),0)</f>
        <v>0</v>
      </c>
      <c r="AN13" s="66">
        <f>IF(AN5&lt;&gt;"Dim",IF(SUM($AM10:AN10)&gt;43,(MIN(SUM($AM10:AN10),48)-43-SUM($AM13:AM13)),0),0)</f>
        <v>0</v>
      </c>
      <c r="AO13" s="66">
        <f>IF(AO5&lt;&gt;"Dim",IF(SUM($AM10:AO10)&gt;43,(MIN(SUM($AM10:AO10),48)-43-SUM($AM13:AN13)),0),0)</f>
        <v>0</v>
      </c>
      <c r="AP13" s="66">
        <f>IF(AP5&lt;&gt;"Dim",IF(SUM($AM10:AP10)&gt;43,(MIN(SUM($AM10:AP10),48)-43-SUM($AM13:AO13)),0),0)</f>
        <v>0</v>
      </c>
      <c r="AQ13" s="66">
        <f>IF(AQ5&lt;&gt;"Dim",IF(SUM($AM10:AQ10)&gt;43,(MIN(SUM($AM10:AQ10),48)-43-SUM($AM13:AP13)),0),0)</f>
        <v>0</v>
      </c>
      <c r="AR13" s="66">
        <f>IF(AR5&lt;&gt;"Dim",IF(SUM($AM10:AR10)&gt;43,(MIN(SUM($AM10:AR10),48)-43-SUM($AM13:AQ13)),0),0)</f>
        <v>0</v>
      </c>
      <c r="AS13" s="66">
        <f>IF(AS5&lt;&gt;"Dim",IF(SUM($AM10:AS10)&gt;43,(MIN(SUM($AM10:AS10),48)-43-SUM($AM13:AR13)),0),0)</f>
        <v>0</v>
      </c>
      <c r="AT13" s="60">
        <f t="shared" si="66"/>
        <v>0</v>
      </c>
      <c r="AU13" s="60"/>
      <c r="AV13" s="66">
        <f>IF(AV5&lt;&gt;"Dim",IF(AV10&gt;43,(MIN(AV10,48)-43),0),0)</f>
        <v>0</v>
      </c>
      <c r="AW13" s="66">
        <f>IF(AW5&lt;&gt;"Dim",IF(SUM($AV10:AW10)&gt;43,(MIN(SUM($AV10:AW10),48)-43-SUM($AV13:AV13)),0),0)</f>
        <v>0</v>
      </c>
      <c r="AX13" s="60">
        <f t="shared" si="36"/>
        <v>0</v>
      </c>
      <c r="AY13" s="60">
        <f t="shared" si="68"/>
        <v>0</v>
      </c>
      <c r="AZ13" s="52"/>
      <c r="BA13" s="52"/>
      <c r="BB13" s="52"/>
      <c r="BC13" s="52"/>
      <c r="BD13" s="52"/>
      <c r="BE13" s="52"/>
      <c r="BF13" s="35"/>
    </row>
    <row r="14" spans="1:59" s="33" customFormat="1" ht="15" customHeight="1" x14ac:dyDescent="0.25">
      <c r="A14" s="21" t="s">
        <v>7</v>
      </c>
      <c r="B14" s="81"/>
      <c r="C14" s="66">
        <f>IF(C5="Dim",C10,IF(C20="ferie",C10,0))</f>
        <v>0</v>
      </c>
      <c r="D14" s="66">
        <f t="shared" ref="D14:I14" si="75">IF(D5="Dim",D10,IF(D20="ferie",D10,0))</f>
        <v>0</v>
      </c>
      <c r="E14" s="66">
        <f t="shared" si="75"/>
        <v>0</v>
      </c>
      <c r="F14" s="66">
        <f t="shared" si="75"/>
        <v>0</v>
      </c>
      <c r="G14" s="66">
        <f t="shared" si="75"/>
        <v>0</v>
      </c>
      <c r="H14" s="66">
        <f t="shared" si="75"/>
        <v>0</v>
      </c>
      <c r="I14" s="66">
        <f t="shared" si="75"/>
        <v>0</v>
      </c>
      <c r="J14" s="60">
        <f t="shared" si="38"/>
        <v>0</v>
      </c>
      <c r="K14" s="60"/>
      <c r="L14" s="66">
        <f>IF(L5="Dim",L10,IF(L20="ferie",L10,0))</f>
        <v>0</v>
      </c>
      <c r="M14" s="66">
        <f t="shared" ref="M14:R14" si="76">IF(M5="Dim",M10,IF(M20="ferie",M10,0))</f>
        <v>0</v>
      </c>
      <c r="N14" s="66">
        <f t="shared" si="76"/>
        <v>0</v>
      </c>
      <c r="O14" s="66">
        <f t="shared" si="76"/>
        <v>0</v>
      </c>
      <c r="P14" s="66">
        <f t="shared" si="76"/>
        <v>0</v>
      </c>
      <c r="Q14" s="66">
        <f t="shared" si="76"/>
        <v>0</v>
      </c>
      <c r="R14" s="66">
        <f t="shared" si="76"/>
        <v>0</v>
      </c>
      <c r="S14" s="60">
        <f t="shared" si="45"/>
        <v>0</v>
      </c>
      <c r="T14" s="60"/>
      <c r="U14" s="66">
        <f>IF(U5="Dim",U10,IF(U20="ferie",U10,0))</f>
        <v>0</v>
      </c>
      <c r="V14" s="66">
        <f t="shared" ref="V14:AA14" si="77">IF(V5="Dim",V10,IF(V20="ferie",V10,0))</f>
        <v>0</v>
      </c>
      <c r="W14" s="66">
        <f t="shared" si="77"/>
        <v>0</v>
      </c>
      <c r="X14" s="66">
        <f t="shared" si="77"/>
        <v>0</v>
      </c>
      <c r="Y14" s="66">
        <f t="shared" si="77"/>
        <v>0</v>
      </c>
      <c r="Z14" s="66">
        <f t="shared" si="77"/>
        <v>0</v>
      </c>
      <c r="AA14" s="66">
        <f t="shared" si="77"/>
        <v>0</v>
      </c>
      <c r="AB14" s="60">
        <f t="shared" si="52"/>
        <v>0</v>
      </c>
      <c r="AC14" s="60"/>
      <c r="AD14" s="66">
        <f>IF(AD5="Dim",AD10,IF(AD20="ferie",AD10,0))</f>
        <v>0</v>
      </c>
      <c r="AE14" s="66">
        <f t="shared" ref="AE14:AJ14" si="78">IF(AE5="Dim",AE10,IF(AE20="ferie",AE10,0))</f>
        <v>0</v>
      </c>
      <c r="AF14" s="66">
        <f t="shared" si="78"/>
        <v>0</v>
      </c>
      <c r="AG14" s="66">
        <f t="shared" si="78"/>
        <v>0</v>
      </c>
      <c r="AH14" s="66">
        <f t="shared" si="78"/>
        <v>0</v>
      </c>
      <c r="AI14" s="66">
        <f t="shared" si="78"/>
        <v>0</v>
      </c>
      <c r="AJ14" s="66">
        <f t="shared" si="78"/>
        <v>0</v>
      </c>
      <c r="AK14" s="60">
        <f t="shared" si="59"/>
        <v>0</v>
      </c>
      <c r="AL14" s="60"/>
      <c r="AM14" s="66">
        <f>IF(AM5="Dim",AM10,IF(AM20="ferie",AM10,0))</f>
        <v>0</v>
      </c>
      <c r="AN14" s="66">
        <f t="shared" ref="AN14:AW14" si="79">IF(AN5="Dim",AN10,IF(AN20="ferie",AN10,0))</f>
        <v>0</v>
      </c>
      <c r="AO14" s="66">
        <f t="shared" si="79"/>
        <v>0</v>
      </c>
      <c r="AP14" s="66">
        <f t="shared" si="79"/>
        <v>0</v>
      </c>
      <c r="AQ14" s="66">
        <f t="shared" si="79"/>
        <v>0</v>
      </c>
      <c r="AR14" s="66">
        <f t="shared" si="79"/>
        <v>0</v>
      </c>
      <c r="AS14" s="66">
        <f t="shared" si="79"/>
        <v>0</v>
      </c>
      <c r="AT14" s="60">
        <f t="shared" si="66"/>
        <v>0</v>
      </c>
      <c r="AU14" s="60"/>
      <c r="AV14" s="66">
        <f>IF(AV5="Dim",AV10,IF(AV20="ferie",AV10,0))</f>
        <v>0</v>
      </c>
      <c r="AW14" s="66">
        <f t="shared" si="79"/>
        <v>0</v>
      </c>
      <c r="AX14" s="60">
        <f t="shared" si="36"/>
        <v>0</v>
      </c>
      <c r="AY14" s="60">
        <f t="shared" si="68"/>
        <v>0</v>
      </c>
      <c r="AZ14" s="52"/>
      <c r="BA14" s="52"/>
      <c r="BB14" s="52"/>
      <c r="BC14" s="52"/>
      <c r="BD14" s="52"/>
      <c r="BE14" s="52"/>
      <c r="BF14" s="35"/>
    </row>
    <row r="15" spans="1:59" s="33" customFormat="1" ht="15" customHeight="1" x14ac:dyDescent="0.25">
      <c r="A15" s="21" t="s">
        <v>8</v>
      </c>
      <c r="B15" s="81"/>
      <c r="C15" s="31"/>
      <c r="D15" s="31"/>
      <c r="E15" s="31"/>
      <c r="F15" s="31"/>
      <c r="G15" s="31"/>
      <c r="H15" s="31"/>
      <c r="I15" s="31"/>
      <c r="J15" s="60">
        <f t="shared" si="38"/>
        <v>0</v>
      </c>
      <c r="K15" s="60"/>
      <c r="L15" s="31"/>
      <c r="M15" s="31"/>
      <c r="N15" s="31"/>
      <c r="O15" s="31"/>
      <c r="P15" s="31"/>
      <c r="Q15" s="31"/>
      <c r="R15" s="31"/>
      <c r="S15" s="60">
        <f t="shared" si="45"/>
        <v>0</v>
      </c>
      <c r="T15" s="60"/>
      <c r="U15" s="31"/>
      <c r="V15" s="31"/>
      <c r="W15" s="31"/>
      <c r="X15" s="31"/>
      <c r="Y15" s="31"/>
      <c r="Z15" s="31"/>
      <c r="AA15" s="31"/>
      <c r="AB15" s="60">
        <f t="shared" si="52"/>
        <v>0</v>
      </c>
      <c r="AC15" s="60"/>
      <c r="AD15" s="31"/>
      <c r="AE15" s="31"/>
      <c r="AF15" s="31"/>
      <c r="AG15" s="31"/>
      <c r="AH15" s="31"/>
      <c r="AI15" s="31"/>
      <c r="AJ15" s="31"/>
      <c r="AK15" s="60">
        <f t="shared" si="59"/>
        <v>0</v>
      </c>
      <c r="AL15" s="60"/>
      <c r="AM15" s="31"/>
      <c r="AN15" s="31"/>
      <c r="AO15" s="31"/>
      <c r="AP15" s="31"/>
      <c r="AQ15" s="31"/>
      <c r="AR15" s="31"/>
      <c r="AS15" s="31"/>
      <c r="AT15" s="60">
        <f t="shared" si="66"/>
        <v>0</v>
      </c>
      <c r="AU15" s="60"/>
      <c r="AV15" s="31"/>
      <c r="AW15" s="31"/>
      <c r="AX15" s="60">
        <f t="shared" si="36"/>
        <v>0</v>
      </c>
      <c r="AY15" s="60">
        <f t="shared" si="68"/>
        <v>0</v>
      </c>
      <c r="AZ15" s="52"/>
      <c r="BA15" s="52"/>
      <c r="BB15" s="52"/>
      <c r="BC15" s="52"/>
      <c r="BD15" s="52"/>
      <c r="BE15" s="52"/>
      <c r="BF15" s="35"/>
    </row>
    <row r="16" spans="1:59" s="33" customFormat="1" ht="15" customHeight="1" x14ac:dyDescent="0.25">
      <c r="A16" s="36" t="s">
        <v>9</v>
      </c>
      <c r="B16" s="82"/>
      <c r="C16" s="31"/>
      <c r="D16" s="31"/>
      <c r="E16" s="31"/>
      <c r="F16" s="31"/>
      <c r="G16" s="31"/>
      <c r="H16" s="31"/>
      <c r="I16" s="31"/>
      <c r="J16" s="60">
        <f t="shared" si="38"/>
        <v>0</v>
      </c>
      <c r="K16" s="60"/>
      <c r="L16" s="31"/>
      <c r="M16" s="31"/>
      <c r="N16" s="31"/>
      <c r="O16" s="31"/>
      <c r="P16" s="31"/>
      <c r="Q16" s="31"/>
      <c r="R16" s="31"/>
      <c r="S16" s="60">
        <f t="shared" si="45"/>
        <v>0</v>
      </c>
      <c r="T16" s="60"/>
      <c r="U16" s="31"/>
      <c r="V16" s="31"/>
      <c r="W16" s="31"/>
      <c r="X16" s="31"/>
      <c r="Y16" s="31"/>
      <c r="Z16" s="31"/>
      <c r="AA16" s="31"/>
      <c r="AB16" s="60">
        <f t="shared" si="52"/>
        <v>0</v>
      </c>
      <c r="AC16" s="60"/>
      <c r="AD16" s="31"/>
      <c r="AE16" s="31"/>
      <c r="AF16" s="31"/>
      <c r="AG16" s="31"/>
      <c r="AH16" s="31"/>
      <c r="AI16" s="31"/>
      <c r="AJ16" s="31"/>
      <c r="AK16" s="60">
        <f t="shared" si="59"/>
        <v>0</v>
      </c>
      <c r="AL16" s="60"/>
      <c r="AM16" s="31"/>
      <c r="AN16" s="31"/>
      <c r="AO16" s="31"/>
      <c r="AP16" s="31"/>
      <c r="AQ16" s="31"/>
      <c r="AR16" s="31"/>
      <c r="AS16" s="31"/>
      <c r="AT16" s="60">
        <f t="shared" si="66"/>
        <v>0</v>
      </c>
      <c r="AU16" s="60"/>
      <c r="AV16" s="31"/>
      <c r="AW16" s="31"/>
      <c r="AX16" s="60">
        <f t="shared" ref="AX16:AX18" si="80">SUM(AV16:AW16)</f>
        <v>0</v>
      </c>
      <c r="AY16" s="60">
        <f t="shared" si="68"/>
        <v>0</v>
      </c>
      <c r="AZ16" s="52"/>
      <c r="BA16" s="52"/>
      <c r="BB16" s="52"/>
      <c r="BC16" s="52"/>
      <c r="BD16" s="52"/>
      <c r="BE16" s="52"/>
      <c r="BF16" s="35"/>
    </row>
    <row r="17" spans="1:59" s="33" customFormat="1" ht="15" customHeight="1" x14ac:dyDescent="0.25">
      <c r="A17" s="21" t="s">
        <v>11</v>
      </c>
      <c r="B17" s="81"/>
      <c r="C17" s="31"/>
      <c r="D17" s="31"/>
      <c r="E17" s="31"/>
      <c r="F17" s="31"/>
      <c r="G17" s="31"/>
      <c r="H17" s="31"/>
      <c r="I17" s="31"/>
      <c r="J17" s="60">
        <f t="shared" si="38"/>
        <v>0</v>
      </c>
      <c r="K17" s="60"/>
      <c r="L17" s="31"/>
      <c r="M17" s="31"/>
      <c r="N17" s="31"/>
      <c r="O17" s="31"/>
      <c r="P17" s="31"/>
      <c r="Q17" s="31"/>
      <c r="R17" s="31"/>
      <c r="S17" s="60">
        <f t="shared" si="45"/>
        <v>0</v>
      </c>
      <c r="T17" s="60"/>
      <c r="U17" s="31"/>
      <c r="V17" s="31"/>
      <c r="W17" s="31"/>
      <c r="X17" s="31"/>
      <c r="Y17" s="31"/>
      <c r="Z17" s="31"/>
      <c r="AA17" s="31"/>
      <c r="AB17" s="60">
        <f t="shared" si="52"/>
        <v>0</v>
      </c>
      <c r="AC17" s="60"/>
      <c r="AD17" s="31"/>
      <c r="AE17" s="31"/>
      <c r="AF17" s="31"/>
      <c r="AG17" s="31"/>
      <c r="AH17" s="31"/>
      <c r="AI17" s="31"/>
      <c r="AJ17" s="31"/>
      <c r="AK17" s="60">
        <f t="shared" si="59"/>
        <v>0</v>
      </c>
      <c r="AL17" s="60"/>
      <c r="AM17" s="31"/>
      <c r="AN17" s="31"/>
      <c r="AO17" s="31"/>
      <c r="AP17" s="31"/>
      <c r="AQ17" s="31"/>
      <c r="AR17" s="31"/>
      <c r="AS17" s="31"/>
      <c r="AT17" s="60">
        <f t="shared" si="66"/>
        <v>0</v>
      </c>
      <c r="AU17" s="60"/>
      <c r="AV17" s="31"/>
      <c r="AW17" s="31"/>
      <c r="AX17" s="60">
        <f t="shared" si="80"/>
        <v>0</v>
      </c>
      <c r="AY17" s="60">
        <f t="shared" si="68"/>
        <v>0</v>
      </c>
      <c r="AZ17" s="52"/>
      <c r="BA17" s="52"/>
      <c r="BB17" s="52"/>
      <c r="BC17" s="52"/>
      <c r="BD17" s="52"/>
      <c r="BE17" s="52"/>
      <c r="BF17" s="35"/>
    </row>
    <row r="18" spans="1:59" s="33" customFormat="1" ht="15" customHeight="1" x14ac:dyDescent="0.25">
      <c r="A18" s="36" t="s">
        <v>10</v>
      </c>
      <c r="B18" s="82"/>
      <c r="C18" s="31"/>
      <c r="D18" s="31"/>
      <c r="E18" s="31"/>
      <c r="F18" s="31"/>
      <c r="G18" s="31"/>
      <c r="H18" s="31"/>
      <c r="I18" s="31"/>
      <c r="J18" s="60">
        <f t="shared" si="38"/>
        <v>0</v>
      </c>
      <c r="K18" s="60"/>
      <c r="L18" s="31"/>
      <c r="M18" s="31"/>
      <c r="N18" s="31"/>
      <c r="O18" s="31"/>
      <c r="P18" s="31"/>
      <c r="Q18" s="31"/>
      <c r="R18" s="31"/>
      <c r="S18" s="60">
        <f t="shared" si="45"/>
        <v>0</v>
      </c>
      <c r="T18" s="60"/>
      <c r="U18" s="31"/>
      <c r="V18" s="31"/>
      <c r="W18" s="31"/>
      <c r="X18" s="31"/>
      <c r="Y18" s="31"/>
      <c r="Z18" s="31"/>
      <c r="AA18" s="31"/>
      <c r="AB18" s="60">
        <f t="shared" si="52"/>
        <v>0</v>
      </c>
      <c r="AC18" s="60"/>
      <c r="AD18" s="31"/>
      <c r="AE18" s="31"/>
      <c r="AF18" s="31"/>
      <c r="AG18" s="31"/>
      <c r="AH18" s="31"/>
      <c r="AI18" s="31"/>
      <c r="AJ18" s="31"/>
      <c r="AK18" s="60">
        <f t="shared" si="59"/>
        <v>0</v>
      </c>
      <c r="AL18" s="60"/>
      <c r="AM18" s="31"/>
      <c r="AN18" s="31"/>
      <c r="AO18" s="31"/>
      <c r="AP18" s="31"/>
      <c r="AQ18" s="31"/>
      <c r="AR18" s="31"/>
      <c r="AS18" s="31"/>
      <c r="AT18" s="60">
        <f t="shared" si="66"/>
        <v>0</v>
      </c>
      <c r="AU18" s="60"/>
      <c r="AV18" s="31"/>
      <c r="AW18" s="31"/>
      <c r="AX18" s="60">
        <f t="shared" si="80"/>
        <v>0</v>
      </c>
      <c r="AY18" s="60">
        <f t="shared" si="68"/>
        <v>0</v>
      </c>
      <c r="AZ18" s="52"/>
      <c r="BA18" s="52"/>
      <c r="BB18" s="52"/>
      <c r="BC18" s="52"/>
      <c r="BD18" s="52"/>
      <c r="BE18" s="52"/>
      <c r="BF18" s="35"/>
    </row>
    <row r="19" spans="1:59" s="33" customFormat="1" ht="15" customHeight="1" x14ac:dyDescent="0.25">
      <c r="A19" s="36" t="s">
        <v>44</v>
      </c>
      <c r="B19" s="82"/>
      <c r="C19" s="60">
        <f>IF(C7="nuit",C10*0.02,0)</f>
        <v>0</v>
      </c>
      <c r="D19" s="60">
        <f>IF(D7="nuit",D10*0.02,0)</f>
        <v>0</v>
      </c>
      <c r="E19" s="60">
        <f t="shared" ref="E19:I19" si="81">IF(E7="nuit",E10*0.02,0)</f>
        <v>0</v>
      </c>
      <c r="F19" s="60">
        <f t="shared" si="81"/>
        <v>0</v>
      </c>
      <c r="G19" s="60">
        <f>IF(G7="nuit",G10*0.02,0)</f>
        <v>0</v>
      </c>
      <c r="H19" s="60">
        <f t="shared" si="81"/>
        <v>0</v>
      </c>
      <c r="I19" s="60">
        <f t="shared" si="81"/>
        <v>0</v>
      </c>
      <c r="J19" s="60">
        <f t="shared" si="38"/>
        <v>0</v>
      </c>
      <c r="K19" s="60"/>
      <c r="L19" s="60">
        <f>IF(L7="nuit",L10*0.02,0)</f>
        <v>0.16</v>
      </c>
      <c r="M19" s="60">
        <f>IF(M7="nuit",M10*0.02,0)</f>
        <v>0.16</v>
      </c>
      <c r="N19" s="60">
        <f t="shared" ref="N19:R19" si="82">IF(N7="nuit",N10*0.02,0)</f>
        <v>0.16</v>
      </c>
      <c r="O19" s="60">
        <f t="shared" si="82"/>
        <v>0.16</v>
      </c>
      <c r="P19" s="60">
        <f>IF(P7="nuit",P10*0.02,0)</f>
        <v>0.16</v>
      </c>
      <c r="Q19" s="60">
        <f t="shared" si="82"/>
        <v>0</v>
      </c>
      <c r="R19" s="60">
        <f t="shared" si="82"/>
        <v>0</v>
      </c>
      <c r="S19" s="60">
        <f t="shared" si="45"/>
        <v>0.8</v>
      </c>
      <c r="T19" s="60"/>
      <c r="U19" s="60">
        <f>IF(U7="nuit",U10*0.02,0)</f>
        <v>0</v>
      </c>
      <c r="V19" s="60">
        <f>IF(V7="nuit",V10*0.02,0)</f>
        <v>0</v>
      </c>
      <c r="W19" s="60">
        <f t="shared" ref="W19:AA19" si="83">IF(W7="nuit",W10*0.02,0)</f>
        <v>0</v>
      </c>
      <c r="X19" s="60">
        <f t="shared" si="83"/>
        <v>0</v>
      </c>
      <c r="Y19" s="60">
        <f>IF(Y7="nuit",Y10*0.02,0)</f>
        <v>0</v>
      </c>
      <c r="Z19" s="60">
        <f t="shared" si="83"/>
        <v>0</v>
      </c>
      <c r="AA19" s="60">
        <f t="shared" si="83"/>
        <v>0</v>
      </c>
      <c r="AB19" s="60">
        <f t="shared" si="52"/>
        <v>0</v>
      </c>
      <c r="AC19" s="60"/>
      <c r="AD19" s="60">
        <f>IF(AD7="nuit",AD10*0.02,0)</f>
        <v>0</v>
      </c>
      <c r="AE19" s="60">
        <f>IF(AE7="nuit",AE10*0.02,0)</f>
        <v>0</v>
      </c>
      <c r="AF19" s="60">
        <f t="shared" ref="AF19:AJ19" si="84">IF(AF7="nuit",AF10*0.02,0)</f>
        <v>0</v>
      </c>
      <c r="AG19" s="60">
        <f t="shared" si="84"/>
        <v>0</v>
      </c>
      <c r="AH19" s="60">
        <f>IF(AH7="nuit",AH10*0.02,0)</f>
        <v>0</v>
      </c>
      <c r="AI19" s="60">
        <f t="shared" si="84"/>
        <v>0</v>
      </c>
      <c r="AJ19" s="60">
        <f t="shared" si="84"/>
        <v>0</v>
      </c>
      <c r="AK19" s="60">
        <f t="shared" si="59"/>
        <v>0</v>
      </c>
      <c r="AL19" s="60"/>
      <c r="AM19" s="60">
        <f>IF(AM7="nuit",AM10*0.02,0)</f>
        <v>0</v>
      </c>
      <c r="AN19" s="60">
        <f>IF(AN7="nuit",AN10*0.02,0)</f>
        <v>0</v>
      </c>
      <c r="AO19" s="60">
        <f t="shared" ref="AO19:AS19" si="85">IF(AO7="nuit",AO10*0.02,0)</f>
        <v>0</v>
      </c>
      <c r="AP19" s="60">
        <f t="shared" si="85"/>
        <v>0</v>
      </c>
      <c r="AQ19" s="60">
        <f>IF(AQ7="nuit",AQ10*0.02,0)</f>
        <v>0</v>
      </c>
      <c r="AR19" s="60">
        <f t="shared" si="85"/>
        <v>0</v>
      </c>
      <c r="AS19" s="60">
        <f t="shared" si="85"/>
        <v>0</v>
      </c>
      <c r="AT19" s="60">
        <f t="shared" si="66"/>
        <v>0</v>
      </c>
      <c r="AU19" s="60"/>
      <c r="AV19" s="60">
        <f>IF(AV7="nuit",AV10*0.02,0)</f>
        <v>0.16</v>
      </c>
      <c r="AW19" s="60">
        <f>IF(AW7="nuit",AW10*0.02,0)</f>
        <v>0.16</v>
      </c>
      <c r="AX19" s="60">
        <f>SUM(AV19:AW19)</f>
        <v>0.32</v>
      </c>
      <c r="AY19" s="60">
        <f>J19+S19+AB19+AK19+AT19+AX19</f>
        <v>1.1200000000000001</v>
      </c>
      <c r="AZ19" s="52"/>
      <c r="BA19" s="52"/>
      <c r="BB19" s="52"/>
      <c r="BC19" s="52"/>
      <c r="BD19" s="52"/>
      <c r="BE19" s="52"/>
      <c r="BF19" s="35"/>
    </row>
    <row r="20" spans="1:59" s="4" customFormat="1" ht="15" customHeight="1" x14ac:dyDescent="0.25">
      <c r="A20" s="21" t="s">
        <v>31</v>
      </c>
      <c r="B20" s="81"/>
      <c r="C20" s="31"/>
      <c r="D20" s="31"/>
      <c r="E20" s="31"/>
      <c r="F20" s="31"/>
      <c r="G20" s="31"/>
      <c r="H20" s="37"/>
      <c r="I20" s="37"/>
      <c r="J20" s="64"/>
      <c r="K20" s="64"/>
      <c r="L20" s="37"/>
      <c r="M20" s="37"/>
      <c r="N20" s="37"/>
      <c r="O20" s="37"/>
      <c r="P20" s="37"/>
      <c r="Q20" s="37"/>
      <c r="R20" s="37"/>
      <c r="S20" s="64"/>
      <c r="T20" s="64"/>
      <c r="U20" s="37"/>
      <c r="V20" s="37"/>
      <c r="W20" s="37"/>
      <c r="X20" s="37"/>
      <c r="Y20" s="37"/>
      <c r="Z20" s="37"/>
      <c r="AA20" s="37"/>
      <c r="AB20" s="64"/>
      <c r="AC20" s="64"/>
      <c r="AD20" s="37"/>
      <c r="AE20" s="37"/>
      <c r="AF20" s="37"/>
      <c r="AG20" s="37"/>
      <c r="AH20" s="37"/>
      <c r="AI20" s="37"/>
      <c r="AJ20" s="37"/>
      <c r="AK20" s="64"/>
      <c r="AL20" s="64"/>
      <c r="AM20" s="37"/>
      <c r="AN20" s="37"/>
      <c r="AO20" s="37"/>
      <c r="AP20" s="37"/>
      <c r="AQ20" s="37"/>
      <c r="AR20" s="37"/>
      <c r="AS20" s="37"/>
      <c r="AT20" s="64"/>
      <c r="AU20" s="64"/>
      <c r="AV20" s="37"/>
      <c r="AW20" s="37"/>
      <c r="AX20" s="64"/>
      <c r="AY20" s="65"/>
      <c r="AZ20" s="53"/>
      <c r="BA20" s="53"/>
      <c r="BB20" s="53"/>
      <c r="BC20" s="53"/>
      <c r="BD20" s="42"/>
      <c r="BE20" s="42"/>
      <c r="BF20" s="32"/>
    </row>
    <row r="21" spans="1:59" s="22" customFormat="1" ht="15" customHeight="1" x14ac:dyDescent="0.25">
      <c r="A21" s="38"/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68"/>
      <c r="AZ21" s="40"/>
      <c r="BA21" s="40"/>
      <c r="BB21" s="40"/>
      <c r="BC21" s="40"/>
      <c r="BD21" s="40"/>
      <c r="BE21" s="40"/>
      <c r="BF21" s="29"/>
    </row>
    <row r="22" spans="1:59" s="8" customFormat="1" ht="27.6" x14ac:dyDescent="0.25">
      <c r="A22" s="21"/>
      <c r="B22" s="21"/>
      <c r="C22" s="24" t="s">
        <v>1</v>
      </c>
      <c r="D22" s="24"/>
      <c r="E22" s="24"/>
      <c r="F22" s="24"/>
      <c r="G22" s="24"/>
      <c r="H22" s="95">
        <f>Année_Calendaire</f>
        <v>2016</v>
      </c>
      <c r="I22" s="95"/>
      <c r="J22" s="49"/>
      <c r="K22" s="79"/>
      <c r="L22" s="31"/>
      <c r="M22" s="31"/>
      <c r="N22" s="31"/>
      <c r="O22" s="31"/>
      <c r="P22" s="31"/>
      <c r="Q22" s="31"/>
      <c r="R22" s="31"/>
      <c r="S22" s="49"/>
      <c r="T22" s="79"/>
      <c r="U22" s="24" t="s">
        <v>1</v>
      </c>
      <c r="V22" s="24"/>
      <c r="W22" s="24"/>
      <c r="X22" s="24"/>
      <c r="Y22" s="24"/>
      <c r="Z22" s="95">
        <f>Année_Calendaire</f>
        <v>2016</v>
      </c>
      <c r="AA22" s="95"/>
      <c r="AB22" s="49"/>
      <c r="AC22" s="79"/>
      <c r="AD22" s="31"/>
      <c r="AE22" s="31"/>
      <c r="AF22" s="31"/>
      <c r="AG22" s="31"/>
      <c r="AH22" s="31"/>
      <c r="AI22" s="31"/>
      <c r="AJ22" s="31"/>
      <c r="AK22" s="49"/>
      <c r="AL22" s="79"/>
      <c r="AM22" s="24" t="s">
        <v>1</v>
      </c>
      <c r="AN22" s="24"/>
      <c r="AO22" s="24"/>
      <c r="AP22" s="24"/>
      <c r="AQ22" s="24"/>
      <c r="AR22" s="95">
        <f>Année_Calendaire</f>
        <v>2016</v>
      </c>
      <c r="AS22" s="95"/>
      <c r="AT22" s="49"/>
      <c r="AU22" s="79"/>
      <c r="AV22" s="31"/>
      <c r="AW22" s="31"/>
      <c r="AX22" s="49"/>
      <c r="AY22" s="52"/>
      <c r="AZ22" s="52"/>
      <c r="BA22" s="52"/>
      <c r="BB22" s="52"/>
      <c r="BC22" s="52"/>
      <c r="BD22" s="52"/>
      <c r="BE22" s="52"/>
      <c r="BF22" s="32"/>
    </row>
    <row r="23" spans="1:59" s="8" customFormat="1" ht="29.25" customHeight="1" x14ac:dyDescent="0.25">
      <c r="A23" s="31"/>
      <c r="B23" s="31"/>
      <c r="C23" s="62" t="s">
        <v>13</v>
      </c>
      <c r="D23" s="62" t="s">
        <v>14</v>
      </c>
      <c r="E23" s="62" t="s">
        <v>15</v>
      </c>
      <c r="F23" s="62" t="s">
        <v>16</v>
      </c>
      <c r="G23" s="62" t="s">
        <v>17</v>
      </c>
      <c r="H23" s="62" t="s">
        <v>18</v>
      </c>
      <c r="I23" s="62" t="s">
        <v>19</v>
      </c>
      <c r="J23" s="96" t="s">
        <v>32</v>
      </c>
      <c r="K23" s="85"/>
      <c r="L23" s="62" t="s">
        <v>13</v>
      </c>
      <c r="M23" s="62" t="s">
        <v>14</v>
      </c>
      <c r="N23" s="62" t="s">
        <v>15</v>
      </c>
      <c r="O23" s="62" t="s">
        <v>16</v>
      </c>
      <c r="P23" s="62" t="s">
        <v>17</v>
      </c>
      <c r="Q23" s="62" t="s">
        <v>18</v>
      </c>
      <c r="R23" s="62" t="s">
        <v>19</v>
      </c>
      <c r="S23" s="96" t="s">
        <v>32</v>
      </c>
      <c r="T23" s="85"/>
      <c r="U23" s="62" t="s">
        <v>13</v>
      </c>
      <c r="V23" s="62" t="s">
        <v>14</v>
      </c>
      <c r="W23" s="62" t="s">
        <v>15</v>
      </c>
      <c r="X23" s="62" t="s">
        <v>16</v>
      </c>
      <c r="Y23" s="62" t="s">
        <v>17</v>
      </c>
      <c r="Z23" s="62" t="s">
        <v>18</v>
      </c>
      <c r="AA23" s="62" t="s">
        <v>19</v>
      </c>
      <c r="AB23" s="96" t="s">
        <v>32</v>
      </c>
      <c r="AC23" s="85"/>
      <c r="AD23" s="62" t="s">
        <v>13</v>
      </c>
      <c r="AE23" s="62" t="s">
        <v>14</v>
      </c>
      <c r="AF23" s="62" t="s">
        <v>15</v>
      </c>
      <c r="AG23" s="62" t="s">
        <v>16</v>
      </c>
      <c r="AH23" s="62" t="s">
        <v>17</v>
      </c>
      <c r="AI23" s="62" t="s">
        <v>18</v>
      </c>
      <c r="AJ23" s="62" t="s">
        <v>19</v>
      </c>
      <c r="AK23" s="96" t="s">
        <v>32</v>
      </c>
      <c r="AL23" s="85"/>
      <c r="AM23" s="62" t="s">
        <v>13</v>
      </c>
      <c r="AN23" s="62" t="s">
        <v>14</v>
      </c>
      <c r="AO23" s="62" t="s">
        <v>15</v>
      </c>
      <c r="AP23" s="62" t="s">
        <v>16</v>
      </c>
      <c r="AQ23" s="62" t="s">
        <v>17</v>
      </c>
      <c r="AR23" s="62" t="s">
        <v>18</v>
      </c>
      <c r="AS23" s="62" t="s">
        <v>19</v>
      </c>
      <c r="AT23" s="96" t="s">
        <v>32</v>
      </c>
      <c r="AU23" s="85" t="s">
        <v>77</v>
      </c>
      <c r="AV23" s="62" t="s">
        <v>13</v>
      </c>
      <c r="AW23" s="62" t="s">
        <v>14</v>
      </c>
      <c r="AX23" s="96" t="s">
        <v>32</v>
      </c>
      <c r="AY23" s="96" t="s">
        <v>35</v>
      </c>
      <c r="AZ23" s="97">
        <f>AY30+AY31+AY32</f>
        <v>0</v>
      </c>
      <c r="BA23" s="97">
        <f>AZ23+BA5</f>
        <v>10</v>
      </c>
      <c r="BB23" s="31"/>
      <c r="BC23" s="31"/>
      <c r="BD23" s="31"/>
      <c r="BE23" s="31"/>
      <c r="BF23" s="32"/>
    </row>
    <row r="24" spans="1:59" s="8" customFormat="1" ht="15" customHeight="1" x14ac:dyDescent="0.25">
      <c r="A24" s="48"/>
      <c r="B24" s="83"/>
      <c r="C24" s="67">
        <f>IF(DAY(Fév_Dim1)=1,"",IF(AND(YEAR(Fév_Dim1+1)=Année_Calendaire,MONTH(Fév_Dim1+1)=2),Fév_Dim1+1,""))</f>
        <v>42401</v>
      </c>
      <c r="D24" s="67">
        <f>IF(DAY(Fév_Dim1)=1,"",IF(AND(YEAR(Fév_Dim1+2)=Année_Calendaire,MONTH(Fév_Dim1+2)=2),Fév_Dim1+2,""))</f>
        <v>42402</v>
      </c>
      <c r="E24" s="67">
        <f>IF(DAY(Fév_Dim1)=1,"",IF(AND(YEAR(Fév_Dim1+3)=Année_Calendaire,MONTH(Fév_Dim1+3)=2),Fév_Dim1+3,""))</f>
        <v>42403</v>
      </c>
      <c r="F24" s="67">
        <f>IF(DAY(Fév_Dim1)=1,"",IF(AND(YEAR(Fév_Dim1+4)=Année_Calendaire,MONTH(Fév_Dim1+4)=2),Fév_Dim1+4,""))</f>
        <v>42404</v>
      </c>
      <c r="G24" s="67">
        <f>IF(DAY(Fév_Dim1)=1,"",IF(AND(YEAR(Fév_Dim1+5)=Année_Calendaire,MONTH(Fév_Dim1+5)=2),Fév_Dim1+5,""))</f>
        <v>42405</v>
      </c>
      <c r="H24" s="67">
        <f>IF(DAY(Fév_Dim1)=1,"",IF(AND(YEAR(Fév_Dim1+6)=Année_Calendaire,MONTH(Fév_Dim1+6)=2),Fév_Dim1+6,""))</f>
        <v>42406</v>
      </c>
      <c r="I24" s="67">
        <f>IF(DAY(Fév_Dim1)=1,IF(AND(YEAR(Fév_Dim1)=Année_Calendaire,MONTH(Fév_Dim1)=2),Fév_Dim1,""),IF(AND(YEAR(Fév_Dim1+7)=Année_Calendaire,MONTH(Fév_Dim1+7)=2),Fév_Dim1+7,""))</f>
        <v>42407</v>
      </c>
      <c r="J24" s="96"/>
      <c r="K24" s="78"/>
      <c r="L24" s="67">
        <f>IF(DAY(Fév_Dim1)=1,IF(AND(YEAR(Fév_Dim1+1)=Année_Calendaire,MONTH(Fév_Dim1+1)=2),Fév_Dim1+1,""),IF(AND(YEAR(Fév_Dim1+8)=Année_Calendaire,MONTH(Fév_Dim1+8)=2),Fév_Dim1+8,""))</f>
        <v>42408</v>
      </c>
      <c r="M24" s="67">
        <f>IF(DAY(Fév_Dim1)=1,IF(AND(YEAR(Fév_Dim1+2)=Année_Calendaire,MONTH(Fév_Dim1+2)=2),Fév_Dim1+2,""),IF(AND(YEAR(Fév_Dim1+9)=Année_Calendaire,MONTH(Fév_Dim1+9)=2),Fév_Dim1+9,""))</f>
        <v>42409</v>
      </c>
      <c r="N24" s="67">
        <f>IF(DAY(Fév_Dim1)=1,IF(AND(YEAR(Fév_Dim1+3)=Année_Calendaire,MONTH(Fév_Dim1+3)=2),Fév_Dim1+3,""),IF(AND(YEAR(Fév_Dim1+10)=Année_Calendaire,MONTH(Fév_Dim1+10)=2),Fév_Dim1+10,""))</f>
        <v>42410</v>
      </c>
      <c r="O24" s="67">
        <f>IF(DAY(Fév_Dim1)=1,IF(AND(YEAR(Fév_Dim1+4)=Année_Calendaire,MONTH(Fév_Dim1+4)=2),Fév_Dim1+4,""),IF(AND(YEAR(Fév_Dim1+11)=Année_Calendaire,MONTH(Fév_Dim1+11)=2),Fév_Dim1+11,""))</f>
        <v>42411</v>
      </c>
      <c r="P24" s="67">
        <f>IF(DAY(Fév_Dim1)=1,IF(AND(YEAR(Fév_Dim1+5)=Année_Calendaire,MONTH(Fév_Dim1+5)=2),Fév_Dim1+5,""),IF(AND(YEAR(Fév_Dim1+12)=Année_Calendaire,MONTH(Fév_Dim1+12)=2),Fév_Dim1+12,""))</f>
        <v>42412</v>
      </c>
      <c r="Q24" s="67">
        <f>IF(DAY(Fév_Dim1)=1,IF(AND(YEAR(Fév_Dim1+6)=Année_Calendaire,MONTH(Fév_Dim1+6)=2),Fév_Dim1+6,""),IF(AND(YEAR(Fév_Dim1+13)=Année_Calendaire,MONTH(Fév_Dim1+13)=2),Fév_Dim1+13,""))</f>
        <v>42413</v>
      </c>
      <c r="R24" s="67">
        <f>IF(DAY(Fév_Dim1)=1,IF(AND(YEAR(Fév_Dim1+7)=Année_Calendaire,MONTH(Fév_Dim1+7)=2),Fév_Dim1+7,""),IF(AND(YEAR(Fév_Dim1+14)=Année_Calendaire,MONTH(Fév_Dim1+14)=2),Fév_Dim1+14,""))</f>
        <v>42414</v>
      </c>
      <c r="S24" s="96"/>
      <c r="T24" s="78"/>
      <c r="U24" s="67">
        <f>IF(DAY(Fév_Dim1)=1,IF(AND(YEAR(Fév_Dim1+8)=Année_Calendaire,MONTH(Fév_Dim1+8)=2),Fév_Dim1+8,""),IF(AND(YEAR(Fév_Dim1+15)=Année_Calendaire,MONTH(Fév_Dim1+15)=2),Fév_Dim1+15,""))</f>
        <v>42415</v>
      </c>
      <c r="V24" s="67">
        <f>IF(DAY(Fév_Dim1)=1,IF(AND(YEAR(Fév_Dim1+9)=Année_Calendaire,MONTH(Fév_Dim1+9)=2),Fév_Dim1+9,""),IF(AND(YEAR(Fév_Dim1+16)=Année_Calendaire,MONTH(Fév_Dim1+16)=2),Fév_Dim1+16,""))</f>
        <v>42416</v>
      </c>
      <c r="W24" s="67">
        <f>IF(DAY(Fév_Dim1)=1,IF(AND(YEAR(Fév_Dim1+10)=Année_Calendaire,MONTH(Fév_Dim1+10)=2),Fév_Dim1+10,""),IF(AND(YEAR(Fév_Dim1+17)=Année_Calendaire,MONTH(Fév_Dim1+17)=2),Fév_Dim1+17,""))</f>
        <v>42417</v>
      </c>
      <c r="X24" s="67">
        <f>IF(DAY(Fév_Dim1)=1,IF(AND(YEAR(Fév_Dim1+11)=Année_Calendaire,MONTH(Fév_Dim1+11)=2),Fév_Dim1+11,""),IF(AND(YEAR(Fév_Dim1+18)=Année_Calendaire,MONTH(Fév_Dim1+18)=2),Fév_Dim1+18,""))</f>
        <v>42418</v>
      </c>
      <c r="Y24" s="67">
        <f>IF(DAY(Fév_Dim1)=1,IF(AND(YEAR(Fév_Dim1+12)=Année_Calendaire,MONTH(Fév_Dim1+12)=2),Fév_Dim1+12,""),IF(AND(YEAR(Fév_Dim1+19)=Année_Calendaire,MONTH(Fév_Dim1+19)=2),Fév_Dim1+19,""))</f>
        <v>42419</v>
      </c>
      <c r="Z24" s="67">
        <f>IF(DAY(Fév_Dim1)=1,IF(AND(YEAR(Fév_Dim1+13)=Année_Calendaire,MONTH(Fév_Dim1+13)=2),Fév_Dim1+13,""),IF(AND(YEAR(Fév_Dim1+20)=Année_Calendaire,MONTH(Fév_Dim1+20)=2),Fév_Dim1+20,""))</f>
        <v>42420</v>
      </c>
      <c r="AA24" s="67">
        <f>IF(DAY(Fév_Dim1)=1,IF(AND(YEAR(Fév_Dim1+14)=Année_Calendaire,MONTH(Fév_Dim1+14)=2),Fév_Dim1+14,""),IF(AND(YEAR(Fév_Dim1+21)=Année_Calendaire,MONTH(Fév_Dim1+21)=2),Fév_Dim1+21,""))</f>
        <v>42421</v>
      </c>
      <c r="AB24" s="96"/>
      <c r="AC24" s="78"/>
      <c r="AD24" s="67">
        <f>IF(DAY(Fév_Dim1)=1,IF(AND(YEAR(Fév_Dim1+15)=Année_Calendaire,MONTH(Fév_Dim1+15)=2),Fév_Dim1+15,""),IF(AND(YEAR(Fév_Dim1+22)=Année_Calendaire,MONTH(Fév_Dim1+22)=2),Fév_Dim1+22,""))</f>
        <v>42422</v>
      </c>
      <c r="AE24" s="67">
        <f>IF(DAY(Fév_Dim1)=1,IF(AND(YEAR(Fév_Dim1+16)=Année_Calendaire,MONTH(Fév_Dim1+16)=2),Fév_Dim1+16,""),IF(AND(YEAR(Fév_Dim1+23)=Année_Calendaire,MONTH(Fév_Dim1+23)=2),Fév_Dim1+23,""))</f>
        <v>42423</v>
      </c>
      <c r="AF24" s="67">
        <f>IF(DAY(Fév_Dim1)=1,IF(AND(YEAR(Fév_Dim1+17)=Année_Calendaire,MONTH(Fév_Dim1+17)=2),Fév_Dim1+17,""),IF(AND(YEAR(Fév_Dim1+24)=Année_Calendaire,MONTH(Fév_Dim1+24)=2),Fév_Dim1+24,""))</f>
        <v>42424</v>
      </c>
      <c r="AG24" s="67">
        <f>IF(DAY(Fév_Dim1)=1,IF(AND(YEAR(Fév_Dim1+18)=Année_Calendaire,MONTH(Fév_Dim1+18)=2),Fév_Dim1+18,""),IF(AND(YEAR(Fév_Dim1+25)=Année_Calendaire,MONTH(Fév_Dim1+25)=2),Fév_Dim1+25,""))</f>
        <v>42425</v>
      </c>
      <c r="AH24" s="67">
        <f>IF(DAY(Fév_Dim1)=1,IF(AND(YEAR(Fév_Dim1+19)=Année_Calendaire,MONTH(Fév_Dim1+19)=2),Fév_Dim1+19,""),IF(AND(YEAR(Fév_Dim1+26)=Année_Calendaire,MONTH(Fév_Dim1+26)=2),Fév_Dim1+26,""))</f>
        <v>42426</v>
      </c>
      <c r="AI24" s="67">
        <f>IF(DAY(Fév_Dim1)=1,IF(AND(YEAR(Fév_Dim1+20)=Année_Calendaire,MONTH(Fév_Dim1+20)=2),Fév_Dim1+20,""),IF(AND(YEAR(Fév_Dim1+27)=Année_Calendaire,MONTH(Fév_Dim1+27)=2),Fév_Dim1+27,""))</f>
        <v>42427</v>
      </c>
      <c r="AJ24" s="67">
        <f>IF(DAY(Fév_Dim1)=1,IF(AND(YEAR(Fév_Dim1+21)=Année_Calendaire,MONTH(Fév_Dim1+21)=2),Fév_Dim1+21,""),IF(AND(YEAR(Fév_Dim1+28)=Année_Calendaire,MONTH(Fév_Dim1+28)=2),Fév_Dim1+28,""))</f>
        <v>42428</v>
      </c>
      <c r="AK24" s="96"/>
      <c r="AL24" s="78"/>
      <c r="AM24" s="67">
        <f>IF(DAY(Fév_Dim1)=1,IF(AND(YEAR(Fév_Dim1+22)=Année_Calendaire,MONTH(Fév_Dim1+22)=2),Fév_Dim1+22,""),IF(AND(YEAR(Fév_Dim1+29)=Année_Calendaire,MONTH(Fév_Dim1+29)=2),Fév_Dim1+29,""))</f>
        <v>42429</v>
      </c>
      <c r="AN24" s="67" t="str">
        <f>IF(DAY(Fév_Dim1)=1,IF(AND(YEAR(Fév_Dim1+23)=Année_Calendaire,MONTH(Fév_Dim1+23)=2),Fév_Dim1+23,""),IF(AND(YEAR(Fév_Dim1+30)=Année_Calendaire,MONTH(Fév_Dim1+30)=2),Fév_Dim1+30,""))</f>
        <v/>
      </c>
      <c r="AO24" s="67" t="str">
        <f>IF(DAY(Fév_Dim1)=1,IF(AND(YEAR(Fév_Dim1+24)=Année_Calendaire,MONTH(Fév_Dim1+24)=2),Fév_Dim1+24,""),IF(AND(YEAR(Fév_Dim1+31)=Année_Calendaire,MONTH(Fév_Dim1+31)=2),Fév_Dim1+31,""))</f>
        <v/>
      </c>
      <c r="AP24" s="67" t="str">
        <f>IF(DAY(Fév_Dim1)=1,IF(AND(YEAR(Fév_Dim1+25)=Année_Calendaire,MONTH(Fév_Dim1+25)=2),Fév_Dim1+25,""),IF(AND(YEAR(Fév_Dim1+32)=Année_Calendaire,MONTH(Fév_Dim1+32)=2),Fév_Dim1+32,""))</f>
        <v/>
      </c>
      <c r="AQ24" s="67" t="str">
        <f>IF(DAY(Fév_Dim1)=1,IF(AND(YEAR(Fév_Dim1+26)=Année_Calendaire,MONTH(Fév_Dim1+26)=2),Fév_Dim1+26,""),IF(AND(YEAR(Fév_Dim1+33)=Année_Calendaire,MONTH(Fév_Dim1+33)=2),Fév_Dim1+33,""))</f>
        <v/>
      </c>
      <c r="AR24" s="67" t="str">
        <f>IF(DAY(Fév_Dim1)=1,IF(AND(YEAR(Fév_Dim1+27)=Année_Calendaire,MONTH(Fév_Dim1+27)=2),Fév_Dim1+27,""),IF(AND(YEAR(Fév_Dim1+34)=Année_Calendaire,MONTH(Fév_Dim1+34)=2),Fév_Dim1+34,""))</f>
        <v/>
      </c>
      <c r="AS24" s="67" t="str">
        <f>IF(DAY(Fév_Dim1)=1,IF(AND(YEAR(Fév_Dim1+28)=Année_Calendaire,MONTH(Fév_Dim1+28)=2),Fév_Dim1+28,""),IF(AND(YEAR(Fév_Dim1+35)=Année_Calendaire,MONTH(Fév_Dim1+35)=2),Fév_Dim1+35,""))</f>
        <v/>
      </c>
      <c r="AT24" s="96"/>
      <c r="AU24" s="78"/>
      <c r="AV24" s="61" t="str">
        <f>IF(DAY(Fév_Dim1)=1,IF(AND(YEAR(Fév_Dim1+29)=Année_Calendaire,MONTH(Fév_Dim1+29)=2),Fév_Dim1+29,""),IF(AND(YEAR(Fév_Dim1+36)=Année_Calendaire,MONTH(Fév_Dim1+36)=2),Fév_Dim1+36,""))</f>
        <v/>
      </c>
      <c r="AW24" s="61" t="str">
        <f>IF(DAY(Fév_Dim1)=1,IF(AND(YEAR(Fév_Dim1+30)=Année_Calendaire,MONTH(Fév_Dim1+30)=2),Fév_Dim1+30,""),IF(AND(YEAR(Fév_Dim1+37)=Année_Calendaire,MONTH(Fév_Dim1+37)=2),Fév_Dim1+37,""))</f>
        <v/>
      </c>
      <c r="AX24" s="96"/>
      <c r="AY24" s="96"/>
      <c r="AZ24" s="97"/>
      <c r="BA24" s="97"/>
      <c r="BB24" s="52"/>
      <c r="BC24" s="52"/>
      <c r="BD24" s="52"/>
      <c r="BE24" s="52"/>
      <c r="BF24" s="35"/>
    </row>
    <row r="25" spans="1:59" s="8" customFormat="1" ht="15" customHeight="1" x14ac:dyDescent="0.25">
      <c r="A25" s="21" t="s">
        <v>2</v>
      </c>
      <c r="B25" s="81"/>
      <c r="C25" s="60">
        <f>IFERROR(VLOOKUP(B23,DATA!$A:$H,2,TRUE),0)</f>
        <v>0</v>
      </c>
      <c r="D25" s="60">
        <f>IFERROR(VLOOKUP(B23,DATA!$A:$H,3,TRUE),0)</f>
        <v>0</v>
      </c>
      <c r="E25" s="60">
        <f>IFERROR(VLOOKUP(B23,DATA!$A:$H,4,TRUE),0)</f>
        <v>0</v>
      </c>
      <c r="F25" s="60">
        <f>IFERROR(VLOOKUP(B23,DATA!$A:$H,5,TRUE),0)</f>
        <v>0</v>
      </c>
      <c r="G25" s="60">
        <f>IFERROR(VLOOKUP(B23,DATA!$A:$H,6,TRUE),0)</f>
        <v>0</v>
      </c>
      <c r="H25" s="60">
        <f>IFERROR(VLOOKUP(B23,DATA!$A:$H,7,TRUE),0)</f>
        <v>0</v>
      </c>
      <c r="I25" s="60">
        <f>IFERROR(VLOOKUP(B23,DATA!$A:$H,8,TRUE),0)</f>
        <v>0</v>
      </c>
      <c r="J25" s="60"/>
      <c r="K25" s="60"/>
      <c r="L25" s="60">
        <f>IFERROR(VLOOKUP(K23,DATA!$A:$H,2,TRUE),0)</f>
        <v>0</v>
      </c>
      <c r="M25" s="60">
        <f>IFERROR(VLOOKUP(K23,DATA!$A:$H,3,TRUE),0)</f>
        <v>0</v>
      </c>
      <c r="N25" s="60">
        <f>IFERROR(VLOOKUP(K23,DATA!$A:$H,4,TRUE),0)</f>
        <v>0</v>
      </c>
      <c r="O25" s="60">
        <f>IFERROR(VLOOKUP(K23,DATA!$A:$H,5,TRUE),0)</f>
        <v>0</v>
      </c>
      <c r="P25" s="60">
        <f>IFERROR(VLOOKUP(K23,DATA!$A:$H,6,TRUE),0)</f>
        <v>0</v>
      </c>
      <c r="Q25" s="60">
        <f>IFERROR(VLOOKUP(K23,DATA!$A:$H,7,TRUE),0)</f>
        <v>0</v>
      </c>
      <c r="R25" s="60">
        <f>IFERROR(VLOOKUP(K23,DATA!$A:$H,8,TRUE),0)</f>
        <v>0</v>
      </c>
      <c r="S25" s="60"/>
      <c r="T25" s="60"/>
      <c r="U25" s="60">
        <f>IFERROR(VLOOKUP(T23,DATA!$A:$H,2,TRUE),0)</f>
        <v>0</v>
      </c>
      <c r="V25" s="60">
        <f>IFERROR(VLOOKUP(T23,DATA!$A:$H,3,TRUE),0)</f>
        <v>0</v>
      </c>
      <c r="W25" s="60">
        <f>IFERROR(VLOOKUP(T23,DATA!$A:$H,4,TRUE),0)</f>
        <v>0</v>
      </c>
      <c r="X25" s="60">
        <f>IFERROR(VLOOKUP(T23,DATA!$A:$H,5,TRUE),0)</f>
        <v>0</v>
      </c>
      <c r="Y25" s="60">
        <f>IFERROR(VLOOKUP(T23,DATA!$A:$H,6,TRUE),0)</f>
        <v>0</v>
      </c>
      <c r="Z25" s="60">
        <f>IFERROR(VLOOKUP(T23,DATA!$A:$H,7,TRUE),0)</f>
        <v>0</v>
      </c>
      <c r="AA25" s="60">
        <f>IFERROR(VLOOKUP(T23,DATA!$A:$H,8,TRUE),0)</f>
        <v>0</v>
      </c>
      <c r="AB25" s="60"/>
      <c r="AC25" s="60"/>
      <c r="AD25" s="60">
        <f>IFERROR(VLOOKUP(AC23,DATA!$A:$H,2,TRUE),0)</f>
        <v>0</v>
      </c>
      <c r="AE25" s="60">
        <f>IFERROR(VLOOKUP(AC23,DATA!$A:$H,3,TRUE),0)</f>
        <v>0</v>
      </c>
      <c r="AF25" s="60">
        <f>IFERROR(VLOOKUP(AC23,DATA!$A:$H,4,TRUE),0)</f>
        <v>0</v>
      </c>
      <c r="AG25" s="60">
        <f>IFERROR(VLOOKUP(AC23,DATA!$A:$H,5,TRUE),0)</f>
        <v>0</v>
      </c>
      <c r="AH25" s="60">
        <f>IFERROR(VLOOKUP(AC23,DATA!$A:$H,6,TRUE),0)</f>
        <v>0</v>
      </c>
      <c r="AI25" s="60">
        <f>IFERROR(VLOOKUP(AC23,DATA!$A:$H,7,TRUE),0)</f>
        <v>0</v>
      </c>
      <c r="AJ25" s="60">
        <f>IFERROR(VLOOKUP(AC23,DATA!$A:$H,8,TRUE),0)</f>
        <v>0</v>
      </c>
      <c r="AK25" s="60"/>
      <c r="AL25" s="60"/>
      <c r="AM25" s="60">
        <f>IFERROR(VLOOKUP(AL23,DATA!$A:$H,2,TRUE),0)</f>
        <v>0</v>
      </c>
      <c r="AN25" s="60">
        <f>IFERROR(VLOOKUP(AL23,DATA!$A:$H,3,TRUE),0)</f>
        <v>0</v>
      </c>
      <c r="AO25" s="60">
        <f>IFERROR(VLOOKUP(AL23,DATA!$A:$H,4,TRUE),0)</f>
        <v>0</v>
      </c>
      <c r="AP25" s="60">
        <f>IFERROR(VLOOKUP(AL23,DATA!$A:$H,5,TRUE),0)</f>
        <v>0</v>
      </c>
      <c r="AQ25" s="60">
        <f>IFERROR(VLOOKUP(AL23,DATA!$A:$H,6,TRUE),0)</f>
        <v>0</v>
      </c>
      <c r="AR25" s="60">
        <f>IFERROR(VLOOKUP(AL23,DATA!$A:$H,7,TRUE),0)</f>
        <v>0</v>
      </c>
      <c r="AS25" s="60">
        <f>IFERROR(VLOOKUP(AL23,DATA!$A:$H,8,TRUE),0)</f>
        <v>0</v>
      </c>
      <c r="AT25" s="60"/>
      <c r="AU25" s="60"/>
      <c r="AV25" s="31" t="str">
        <f>IFERROR(VLOOKUP(AU23,DATA!$A:$H,2,TRUE),0)</f>
        <v>matin</v>
      </c>
      <c r="AW25" s="31" t="str">
        <f>IFERROR(VLOOKUP(AU23,DATA!$A:$H,3,TRUE),0)</f>
        <v>matin</v>
      </c>
      <c r="AX25" s="60"/>
      <c r="AY25" s="63"/>
      <c r="AZ25" s="52"/>
      <c r="BA25" s="52"/>
      <c r="BB25" s="52"/>
      <c r="BC25" s="52"/>
      <c r="BD25" s="52"/>
      <c r="BE25" s="52"/>
      <c r="BF25" s="35"/>
    </row>
    <row r="26" spans="1:59" s="33" customFormat="1" ht="15" customHeight="1" x14ac:dyDescent="0.25">
      <c r="A26" s="21" t="s">
        <v>12</v>
      </c>
      <c r="B26" s="81"/>
      <c r="C26" s="60">
        <f t="shared" ref="C26:I26" si="86">IF(C25="Matin",1,IF(C25="AM",1,0))</f>
        <v>0</v>
      </c>
      <c r="D26" s="60">
        <f t="shared" si="86"/>
        <v>0</v>
      </c>
      <c r="E26" s="60">
        <f t="shared" si="86"/>
        <v>0</v>
      </c>
      <c r="F26" s="60">
        <f t="shared" si="86"/>
        <v>0</v>
      </c>
      <c r="G26" s="60">
        <f t="shared" si="86"/>
        <v>0</v>
      </c>
      <c r="H26" s="60">
        <f t="shared" si="86"/>
        <v>0</v>
      </c>
      <c r="I26" s="60">
        <f t="shared" si="86"/>
        <v>0</v>
      </c>
      <c r="J26" s="60">
        <f>SUM(C26:I26)</f>
        <v>0</v>
      </c>
      <c r="K26" s="60"/>
      <c r="L26" s="60">
        <f t="shared" ref="L26:R26" si="87">IF(L25="Matin",1,IF(L25="AM",1,0))</f>
        <v>0</v>
      </c>
      <c r="M26" s="60">
        <f t="shared" si="87"/>
        <v>0</v>
      </c>
      <c r="N26" s="60">
        <f t="shared" si="87"/>
        <v>0</v>
      </c>
      <c r="O26" s="60">
        <f t="shared" si="87"/>
        <v>0</v>
      </c>
      <c r="P26" s="60">
        <f t="shared" si="87"/>
        <v>0</v>
      </c>
      <c r="Q26" s="60">
        <f t="shared" si="87"/>
        <v>0</v>
      </c>
      <c r="R26" s="60">
        <f t="shared" si="87"/>
        <v>0</v>
      </c>
      <c r="S26" s="60">
        <f>SUM(L26:R26)</f>
        <v>0</v>
      </c>
      <c r="T26" s="60"/>
      <c r="U26" s="60">
        <f t="shared" ref="U26:AA26" si="88">IF(U25="Matin",1,IF(U25="AM",1,0))</f>
        <v>0</v>
      </c>
      <c r="V26" s="60">
        <f t="shared" si="88"/>
        <v>0</v>
      </c>
      <c r="W26" s="60">
        <f t="shared" si="88"/>
        <v>0</v>
      </c>
      <c r="X26" s="60">
        <f t="shared" si="88"/>
        <v>0</v>
      </c>
      <c r="Y26" s="60">
        <f t="shared" si="88"/>
        <v>0</v>
      </c>
      <c r="Z26" s="60">
        <f t="shared" si="88"/>
        <v>0</v>
      </c>
      <c r="AA26" s="60">
        <f t="shared" si="88"/>
        <v>0</v>
      </c>
      <c r="AB26" s="60">
        <f>SUM(U26:AA26)</f>
        <v>0</v>
      </c>
      <c r="AC26" s="60"/>
      <c r="AD26" s="60">
        <f t="shared" ref="AD26:AJ26" si="89">IF(AD25="Matin",1,IF(AD25="AM",1,0))</f>
        <v>0</v>
      </c>
      <c r="AE26" s="60">
        <f t="shared" si="89"/>
        <v>0</v>
      </c>
      <c r="AF26" s="60">
        <f t="shared" si="89"/>
        <v>0</v>
      </c>
      <c r="AG26" s="60">
        <f t="shared" si="89"/>
        <v>0</v>
      </c>
      <c r="AH26" s="60">
        <f t="shared" si="89"/>
        <v>0</v>
      </c>
      <c r="AI26" s="60">
        <f t="shared" si="89"/>
        <v>0</v>
      </c>
      <c r="AJ26" s="60">
        <f t="shared" si="89"/>
        <v>0</v>
      </c>
      <c r="AK26" s="60">
        <f>SUM(AD26:AJ26)</f>
        <v>0</v>
      </c>
      <c r="AL26" s="60"/>
      <c r="AM26" s="60">
        <f t="shared" ref="AM26:AS26" si="90">IF(AM25="Matin",1,IF(AM25="AM",1,0))</f>
        <v>0</v>
      </c>
      <c r="AN26" s="60">
        <f t="shared" si="90"/>
        <v>0</v>
      </c>
      <c r="AO26" s="60">
        <f t="shared" si="90"/>
        <v>0</v>
      </c>
      <c r="AP26" s="60">
        <f t="shared" si="90"/>
        <v>0</v>
      </c>
      <c r="AQ26" s="60">
        <f t="shared" si="90"/>
        <v>0</v>
      </c>
      <c r="AR26" s="60">
        <f t="shared" si="90"/>
        <v>0</v>
      </c>
      <c r="AS26" s="60">
        <f t="shared" si="90"/>
        <v>0</v>
      </c>
      <c r="AT26" s="60">
        <f>SUM(AM26:AS26)</f>
        <v>0</v>
      </c>
      <c r="AU26" s="60"/>
      <c r="AV26" s="60">
        <f t="shared" ref="AV26:AW26" si="91">IF(AV25="Matin",1,IF(AV25="AM",1,0))</f>
        <v>1</v>
      </c>
      <c r="AW26" s="60">
        <f t="shared" si="91"/>
        <v>1</v>
      </c>
      <c r="AX26" s="60">
        <f t="shared" ref="AX26:AX33" si="92">SUM(AV26:AW26)</f>
        <v>2</v>
      </c>
      <c r="AY26" s="60">
        <f>J26+S26+AB26+AK26+AT26+AX26</f>
        <v>2</v>
      </c>
      <c r="AZ26" s="31"/>
      <c r="BA26" s="31"/>
      <c r="BB26" s="31"/>
      <c r="BC26" s="31"/>
      <c r="BD26" s="31"/>
      <c r="BE26" s="31"/>
      <c r="BF26" s="31"/>
      <c r="BG26" s="34"/>
    </row>
    <row r="27" spans="1:59" s="33" customFormat="1" ht="15" customHeight="1" x14ac:dyDescent="0.25">
      <c r="A27" s="21" t="s">
        <v>4</v>
      </c>
      <c r="B27" s="81"/>
      <c r="C27" s="60">
        <f>IF(C28&gt;=1,1,0)</f>
        <v>0</v>
      </c>
      <c r="D27" s="60">
        <f>IF(D28&gt;=1,1,0)</f>
        <v>0</v>
      </c>
      <c r="E27" s="60">
        <f t="shared" ref="E27:I27" si="93">IF(E28&gt;=1,1,0)</f>
        <v>0</v>
      </c>
      <c r="F27" s="60">
        <f t="shared" si="93"/>
        <v>0</v>
      </c>
      <c r="G27" s="60">
        <f t="shared" si="93"/>
        <v>0</v>
      </c>
      <c r="H27" s="60">
        <f t="shared" si="93"/>
        <v>0</v>
      </c>
      <c r="I27" s="60">
        <f t="shared" si="93"/>
        <v>0</v>
      </c>
      <c r="J27" s="60">
        <f t="shared" ref="J27:J37" si="94">SUM(C27:I27)</f>
        <v>0</v>
      </c>
      <c r="K27" s="60"/>
      <c r="L27" s="60">
        <f>IF(L28&gt;=1,1,0)</f>
        <v>0</v>
      </c>
      <c r="M27" s="60">
        <f t="shared" ref="M27:R27" si="95">IF(M28&gt;=1,1,0)</f>
        <v>0</v>
      </c>
      <c r="N27" s="60">
        <f t="shared" si="95"/>
        <v>0</v>
      </c>
      <c r="O27" s="60">
        <f t="shared" si="95"/>
        <v>0</v>
      </c>
      <c r="P27" s="60">
        <f t="shared" si="95"/>
        <v>0</v>
      </c>
      <c r="Q27" s="60">
        <f t="shared" si="95"/>
        <v>0</v>
      </c>
      <c r="R27" s="60">
        <f t="shared" si="95"/>
        <v>0</v>
      </c>
      <c r="S27" s="60">
        <f t="shared" ref="S27:S37" si="96">SUM(L27:R27)</f>
        <v>0</v>
      </c>
      <c r="T27" s="60"/>
      <c r="U27" s="60">
        <f>IF(U28&gt;=1,1,0)</f>
        <v>0</v>
      </c>
      <c r="V27" s="60">
        <f t="shared" ref="V27:AA27" si="97">IF(V28&gt;=1,1,0)</f>
        <v>0</v>
      </c>
      <c r="W27" s="60">
        <f t="shared" si="97"/>
        <v>0</v>
      </c>
      <c r="X27" s="60">
        <f t="shared" si="97"/>
        <v>0</v>
      </c>
      <c r="Y27" s="60">
        <f t="shared" si="97"/>
        <v>0</v>
      </c>
      <c r="Z27" s="60">
        <f t="shared" si="97"/>
        <v>0</v>
      </c>
      <c r="AA27" s="60">
        <f t="shared" si="97"/>
        <v>0</v>
      </c>
      <c r="AB27" s="60">
        <f t="shared" ref="AB27:AB37" si="98">SUM(U27:AA27)</f>
        <v>0</v>
      </c>
      <c r="AC27" s="60"/>
      <c r="AD27" s="60">
        <f>IF(AD28&gt;=1,1,0)</f>
        <v>0</v>
      </c>
      <c r="AE27" s="60">
        <f t="shared" ref="AE27:AJ27" si="99">IF(AE28&gt;=1,1,0)</f>
        <v>0</v>
      </c>
      <c r="AF27" s="60">
        <f t="shared" si="99"/>
        <v>0</v>
      </c>
      <c r="AG27" s="60">
        <f t="shared" si="99"/>
        <v>0</v>
      </c>
      <c r="AH27" s="60">
        <f t="shared" si="99"/>
        <v>0</v>
      </c>
      <c r="AI27" s="60">
        <f t="shared" si="99"/>
        <v>0</v>
      </c>
      <c r="AJ27" s="60">
        <f t="shared" si="99"/>
        <v>0</v>
      </c>
      <c r="AK27" s="60">
        <f t="shared" ref="AK27:AK37" si="100">SUM(AD27:AJ27)</f>
        <v>0</v>
      </c>
      <c r="AL27" s="60"/>
      <c r="AM27" s="60">
        <f>IF(AM28&gt;=1,1,0)</f>
        <v>0</v>
      </c>
      <c r="AN27" s="60">
        <f t="shared" ref="AN27:AS27" si="101">IF(AN28&gt;=1,1,0)</f>
        <v>0</v>
      </c>
      <c r="AO27" s="60">
        <f t="shared" si="101"/>
        <v>0</v>
      </c>
      <c r="AP27" s="60">
        <f t="shared" si="101"/>
        <v>0</v>
      </c>
      <c r="AQ27" s="60">
        <f t="shared" si="101"/>
        <v>0</v>
      </c>
      <c r="AR27" s="60">
        <f t="shared" si="101"/>
        <v>0</v>
      </c>
      <c r="AS27" s="60">
        <f t="shared" si="101"/>
        <v>0</v>
      </c>
      <c r="AT27" s="60">
        <f t="shared" ref="AT27:AT37" si="102">SUM(AM27:AS27)</f>
        <v>0</v>
      </c>
      <c r="AU27" s="60"/>
      <c r="AV27" s="60">
        <f>IF(AV28&gt;=1,1,0)</f>
        <v>1</v>
      </c>
      <c r="AW27" s="60">
        <f t="shared" ref="AW27" si="103">IF(AW28&gt;=1,1,0)</f>
        <v>1</v>
      </c>
      <c r="AX27" s="60">
        <f t="shared" si="92"/>
        <v>2</v>
      </c>
      <c r="AY27" s="60">
        <f t="shared" ref="AY27:AY36" si="104">J27+S27+AB27+AK27+AT27+AX27</f>
        <v>2</v>
      </c>
      <c r="AZ27" s="52"/>
      <c r="BA27" s="52"/>
      <c r="BB27" s="52"/>
      <c r="BC27" s="52"/>
      <c r="BD27" s="52"/>
      <c r="BE27" s="52"/>
      <c r="BF27" s="35"/>
    </row>
    <row r="28" spans="1:59" s="8" customFormat="1" ht="15" customHeight="1" x14ac:dyDescent="0.25">
      <c r="A28" s="21" t="s">
        <v>3</v>
      </c>
      <c r="B28" s="81"/>
      <c r="C28" s="60">
        <f>IF(C25="Matin",8,IF(C25="AM",8,IF(C25="nuit",8,0)))</f>
        <v>0</v>
      </c>
      <c r="D28" s="60">
        <f t="shared" ref="D28:I28" si="105">IF(D25="Matin",8,IF(D25="AM",8,IF(D25="nuit",8,0)))</f>
        <v>0</v>
      </c>
      <c r="E28" s="60">
        <f t="shared" si="105"/>
        <v>0</v>
      </c>
      <c r="F28" s="60">
        <f t="shared" si="105"/>
        <v>0</v>
      </c>
      <c r="G28" s="60">
        <f t="shared" si="105"/>
        <v>0</v>
      </c>
      <c r="H28" s="60">
        <f t="shared" si="105"/>
        <v>0</v>
      </c>
      <c r="I28" s="60">
        <f t="shared" si="105"/>
        <v>0</v>
      </c>
      <c r="J28" s="60">
        <f t="shared" si="94"/>
        <v>0</v>
      </c>
      <c r="K28" s="60"/>
      <c r="L28" s="60">
        <f>IF(L25="Matin",8,IF(L25="AM",8,IF(L25="nuit",8,0)))</f>
        <v>0</v>
      </c>
      <c r="M28" s="60">
        <f t="shared" ref="M28:R28" si="106">IF(M25="Matin",8,IF(M25="AM",8,IF(M25="nuit",8,0)))</f>
        <v>0</v>
      </c>
      <c r="N28" s="60">
        <f t="shared" si="106"/>
        <v>0</v>
      </c>
      <c r="O28" s="60">
        <f t="shared" si="106"/>
        <v>0</v>
      </c>
      <c r="P28" s="60">
        <f t="shared" si="106"/>
        <v>0</v>
      </c>
      <c r="Q28" s="60">
        <f t="shared" si="106"/>
        <v>0</v>
      </c>
      <c r="R28" s="60">
        <f t="shared" si="106"/>
        <v>0</v>
      </c>
      <c r="S28" s="60">
        <f t="shared" si="96"/>
        <v>0</v>
      </c>
      <c r="T28" s="60"/>
      <c r="U28" s="60">
        <f>IF(U25="Matin",8,IF(U25="AM",8,IF(U25="nuit",8,0)))</f>
        <v>0</v>
      </c>
      <c r="V28" s="60">
        <f t="shared" ref="V28:AA28" si="107">IF(V25="Matin",8,IF(V25="AM",8,IF(V25="nuit",8,0)))</f>
        <v>0</v>
      </c>
      <c r="W28" s="60">
        <f t="shared" si="107"/>
        <v>0</v>
      </c>
      <c r="X28" s="60">
        <f t="shared" si="107"/>
        <v>0</v>
      </c>
      <c r="Y28" s="60">
        <f t="shared" si="107"/>
        <v>0</v>
      </c>
      <c r="Z28" s="60">
        <f t="shared" si="107"/>
        <v>0</v>
      </c>
      <c r="AA28" s="60">
        <f t="shared" si="107"/>
        <v>0</v>
      </c>
      <c r="AB28" s="60">
        <f t="shared" si="98"/>
        <v>0</v>
      </c>
      <c r="AC28" s="60"/>
      <c r="AD28" s="60">
        <f>IF(AD25="Matin",8,IF(AD25="AM",8,IF(AD25="nuit",8,0)))</f>
        <v>0</v>
      </c>
      <c r="AE28" s="60">
        <f t="shared" ref="AE28:AJ28" si="108">IF(AE25="Matin",8,IF(AE25="AM",8,IF(AE25="nuit",8,0)))</f>
        <v>0</v>
      </c>
      <c r="AF28" s="60">
        <f t="shared" si="108"/>
        <v>0</v>
      </c>
      <c r="AG28" s="60">
        <f t="shared" si="108"/>
        <v>0</v>
      </c>
      <c r="AH28" s="60">
        <f t="shared" si="108"/>
        <v>0</v>
      </c>
      <c r="AI28" s="60">
        <f t="shared" si="108"/>
        <v>0</v>
      </c>
      <c r="AJ28" s="60">
        <f t="shared" si="108"/>
        <v>0</v>
      </c>
      <c r="AK28" s="60">
        <f t="shared" si="100"/>
        <v>0</v>
      </c>
      <c r="AL28" s="60"/>
      <c r="AM28" s="60">
        <f>IF(AM25="Matin",8,IF(AM25="AM",8,IF(AM25="nuit",8,0)))</f>
        <v>0</v>
      </c>
      <c r="AN28" s="60">
        <f t="shared" ref="AN28:AS28" si="109">IF(AN25="Matin",8,IF(AN25="AM",8,IF(AN25="nuit",8,0)))</f>
        <v>0</v>
      </c>
      <c r="AO28" s="60">
        <f t="shared" si="109"/>
        <v>0</v>
      </c>
      <c r="AP28" s="60">
        <f t="shared" si="109"/>
        <v>0</v>
      </c>
      <c r="AQ28" s="60">
        <f t="shared" si="109"/>
        <v>0</v>
      </c>
      <c r="AR28" s="60">
        <f t="shared" si="109"/>
        <v>0</v>
      </c>
      <c r="AS28" s="60">
        <f t="shared" si="109"/>
        <v>0</v>
      </c>
      <c r="AT28" s="60">
        <f t="shared" si="102"/>
        <v>0</v>
      </c>
      <c r="AU28" s="60"/>
      <c r="AV28" s="31">
        <f>IF(AV25="Matin",8,IF(AV25="AM",8,IF(AV25="nuit",8,0)))</f>
        <v>8</v>
      </c>
      <c r="AW28" s="31">
        <f t="shared" ref="AW28" si="110">IF(AW25="Matin",8,IF(AW25="AM",8,IF(AW25="nuit",8,0)))</f>
        <v>8</v>
      </c>
      <c r="AX28" s="60">
        <f t="shared" si="92"/>
        <v>16</v>
      </c>
      <c r="AY28" s="60">
        <f t="shared" si="104"/>
        <v>16</v>
      </c>
      <c r="AZ28" s="52"/>
      <c r="BA28" s="52"/>
      <c r="BB28" s="52"/>
      <c r="BC28" s="52"/>
      <c r="BD28" s="52"/>
      <c r="BE28" s="52"/>
      <c r="BF28" s="35"/>
    </row>
    <row r="29" spans="1:59" s="8" customFormat="1" ht="15" customHeight="1" x14ac:dyDescent="0.25">
      <c r="A29" s="36" t="s">
        <v>20</v>
      </c>
      <c r="B29" s="82"/>
      <c r="C29" s="66">
        <f>IF(C23&lt;&gt;"Dim",IF(C28&gt;32,MIN(C28,35)-32,0),0)</f>
        <v>0</v>
      </c>
      <c r="D29" s="66">
        <f>IF(D23&lt;&gt;"Dim",IF(SUM($C28:D28)&gt;32,MIN(SUM($C28:D28),35)-32-SUM($C29:C29),0),0)</f>
        <v>0</v>
      </c>
      <c r="E29" s="66">
        <f>IF(E23&lt;&gt;"Dim",IF(SUM($C28:E28)&gt;32,MIN(SUM($C28:E28),35)-32-SUM($C29:D29),0),0)</f>
        <v>0</v>
      </c>
      <c r="F29" s="66">
        <f>IF(F23&lt;&gt;"Dim",IF(SUM($C28:F28)&gt;32,MIN(SUM($C28:F28),35)-32-SUM($C29:E29),0),0)</f>
        <v>0</v>
      </c>
      <c r="G29" s="66">
        <f>IF(G23&lt;&gt;"Dim",IF(SUM($C28:G28)&gt;32,MIN(SUM($C28:G28),35)-32-SUM($C29:F29),0),0)</f>
        <v>0</v>
      </c>
      <c r="H29" s="66">
        <f>IF(H23&lt;&gt;"Dim",IF(SUM($C28:H28)&gt;32,MIN(SUM($C28:H28),35)-32-SUM($C29:G29),0),0)</f>
        <v>0</v>
      </c>
      <c r="I29" s="66">
        <f>IF(I23&lt;&gt;"Dim",IF(SUM($C28:I28)&gt;32,MIN(SUM($C28:I28),35)-32-SUM($C29:H29),0),0)</f>
        <v>0</v>
      </c>
      <c r="J29" s="60">
        <f t="shared" si="94"/>
        <v>0</v>
      </c>
      <c r="K29" s="60"/>
      <c r="L29" s="66">
        <f>IF(L23&lt;&gt;"Dim",IF(L28&gt;32,MIN(L28,35)-32,0),0)</f>
        <v>0</v>
      </c>
      <c r="M29" s="66">
        <f>IF(M23&lt;&gt;"Dim",IF(SUM($L28:M28)&gt;32,MIN(SUM($L28:M28),35)-32-SUM($L29:L29),0),0)</f>
        <v>0</v>
      </c>
      <c r="N29" s="66">
        <f>IF(N23&lt;&gt;"Dim",IF(SUM($L28:N28)&gt;32,MIN(SUM($L28:N28),35)-32-SUM($L29:M29),0),0)</f>
        <v>0</v>
      </c>
      <c r="O29" s="66">
        <f>IF(O23&lt;&gt;"Dim",IF(SUM($L28:O28)&gt;32,MIN(SUM($L28:O28),35)-32-SUM($L29:N29),0),0)</f>
        <v>0</v>
      </c>
      <c r="P29" s="66">
        <f>IF(P23&lt;&gt;"Dim",IF(SUM($L28:P28)&gt;32,MIN(SUM($L28:P28),35)-32-SUM($L29:O29),0),0)</f>
        <v>0</v>
      </c>
      <c r="Q29" s="66">
        <f>IF(Q23&lt;&gt;"Dim",IF(SUM($L28:Q28)&gt;32,MIN(SUM($L28:Q28),35)-32-SUM($L29:P29),0),0)</f>
        <v>0</v>
      </c>
      <c r="R29" s="66">
        <f>IF(R23&lt;&gt;"Dim",IF(SUM($L28:R28)&gt;32,MIN(SUM($L28:R28),35)-32-SUM($L29:Q29),0),0)</f>
        <v>0</v>
      </c>
      <c r="S29" s="60">
        <f t="shared" si="96"/>
        <v>0</v>
      </c>
      <c r="T29" s="60"/>
      <c r="U29" s="66">
        <f>IF(U23&lt;&gt;"Dim",IF(U28&gt;32,MIN(U28,35)-32,0),0)</f>
        <v>0</v>
      </c>
      <c r="V29" s="66">
        <f>IF(V23&lt;&gt;"Dim",IF(SUM($U28:V28)&gt;32,MIN(SUM($U28:V28),35)-32-SUM($U29:U29),0),0)</f>
        <v>0</v>
      </c>
      <c r="W29" s="66">
        <f>IF(W23&lt;&gt;"Dim",IF(SUM($U28:W28)&gt;32,MIN(SUM($U28:W28),35)-32-SUM($U29:V29),0),0)</f>
        <v>0</v>
      </c>
      <c r="X29" s="66">
        <f>IF(X23&lt;&gt;"Dim",IF(SUM($U28:X28)&gt;32,MIN(SUM($U28:X28),35)-32-SUM($U29:W29),0),0)</f>
        <v>0</v>
      </c>
      <c r="Y29" s="66">
        <f>IF(Y23&lt;&gt;"Dim",IF(SUM($U28:Y28)&gt;32,MIN(SUM($U28:Y28),35)-32-SUM($U29:X29),0),0)</f>
        <v>0</v>
      </c>
      <c r="Z29" s="66">
        <f>IF(Z23&lt;&gt;"Dim",IF(SUM($U28:Z28)&gt;32,MIN(SUM($U28:Z28),35)-32-SUM($U29:Y29),0),0)</f>
        <v>0</v>
      </c>
      <c r="AA29" s="66">
        <f>IF(AA23&lt;&gt;"Dim",IF(SUM($U28:AA28)&gt;32,MIN(SUM($U28:AA28),35)-32-SUM($U29:Z29),0),0)</f>
        <v>0</v>
      </c>
      <c r="AB29" s="60">
        <f t="shared" si="98"/>
        <v>0</v>
      </c>
      <c r="AC29" s="60"/>
      <c r="AD29" s="66">
        <f>IF(AD23&lt;&gt;"Dim",IF(AD28&gt;32,MIN(AD28,35)-32,0),0)</f>
        <v>0</v>
      </c>
      <c r="AE29" s="66">
        <f>IF(AE23&lt;&gt;"Dim",IF(SUM($AD28:AE28)&gt;32,MIN(SUM($AD28:AE28),35)-32-SUM($AD29:AD29),0),0)</f>
        <v>0</v>
      </c>
      <c r="AF29" s="66">
        <f>IF(AF23&lt;&gt;"Dim",IF(SUM($AD28:AF28)&gt;32,MIN(SUM($AD28:AF28),35)-32-SUM($AD29:AE29),0),0)</f>
        <v>0</v>
      </c>
      <c r="AG29" s="66">
        <f>IF(AG23&lt;&gt;"Dim",IF(SUM($AD28:AG28)&gt;32,MIN(SUM($AD28:AG28),35)-32-SUM($AD29:AF29),0),0)</f>
        <v>0</v>
      </c>
      <c r="AH29" s="66">
        <f>IF(AH23&lt;&gt;"Dim",IF(SUM($AD28:AH28)&gt;32,MIN(SUM($AD28:AH28),35)-32-SUM($AD29:AG29),0),0)</f>
        <v>0</v>
      </c>
      <c r="AI29" s="66">
        <f>IF(AI23&lt;&gt;"Dim",IF(SUM($AD28:AI28)&gt;32,MIN(SUM($AD28:AI28),35)-32-SUM($AD29:AH29),0),0)</f>
        <v>0</v>
      </c>
      <c r="AJ29" s="66">
        <f>IF(AJ23&lt;&gt;"Dim",IF(SUM($AD28:AJ28)&gt;32,MIN(SUM($AD28:AJ28),35)-32-SUM($AD29:AI29),0),0)</f>
        <v>0</v>
      </c>
      <c r="AK29" s="60">
        <f t="shared" si="100"/>
        <v>0</v>
      </c>
      <c r="AL29" s="60"/>
      <c r="AM29" s="66">
        <f>IF(AM23&lt;&gt;"Dim",IF(AM28&gt;32,MIN(AM28,35)-32,0),0)</f>
        <v>0</v>
      </c>
      <c r="AN29" s="66">
        <f>IF(AN23&lt;&gt;"Dim",IF(SUM($AM28:AN28)&gt;32,MIN(SUM($AM28:AN28),35)-32-SUM($AM29:AM29),0),0)</f>
        <v>0</v>
      </c>
      <c r="AO29" s="66">
        <f>IF(AO23&lt;&gt;"Dim",IF(SUM($AM28:AO28)&gt;32,MIN(SUM($AM28:AO28),35)-32-SUM($AM29:AN29),0),0)</f>
        <v>0</v>
      </c>
      <c r="AP29" s="66">
        <f>IF(AP23&lt;&gt;"Dim",IF(SUM($AM28:AP28)&gt;32,MIN(SUM($AM28:AP28),35)-32-SUM($AM29:AO29),0),0)</f>
        <v>0</v>
      </c>
      <c r="AQ29" s="66">
        <f>IF(AQ23&lt;&gt;"Dim",IF(SUM($AM28:AQ28)&gt;32,MIN(SUM($AM28:AQ28),35)-32-SUM($AM29:AP29),0),0)</f>
        <v>0</v>
      </c>
      <c r="AR29" s="66">
        <f>IF(AR23&lt;&gt;"Dim",IF(SUM($AM28:AR28)&gt;32,MIN(SUM($AM28:AR28),35)-32-SUM($AM29:AQ29),0),0)</f>
        <v>0</v>
      </c>
      <c r="AS29" s="66">
        <f>IF(AS23&lt;&gt;"Dim",IF(SUM($AM28:AS28)&gt;32,MIN(SUM($AM28:AS28),35)-32-SUM($AM29:AR29),0),0)</f>
        <v>0</v>
      </c>
      <c r="AT29" s="60">
        <f t="shared" si="102"/>
        <v>0</v>
      </c>
      <c r="AU29" s="60"/>
      <c r="AV29" s="66">
        <f>IF(AV23&lt;&gt;"Dim",IF(AV28&gt;32,MIN(AV28,35)-32,0),0)</f>
        <v>0</v>
      </c>
      <c r="AW29" s="66">
        <f>IF(AW23&lt;&gt;"Dim",IF(SUM($AV28:AW28)&gt;32,MIN(SUM($AV28:AW28),35)-32-SUM($AV29:AV29),0),0)</f>
        <v>0</v>
      </c>
      <c r="AX29" s="60">
        <f t="shared" si="92"/>
        <v>0</v>
      </c>
      <c r="AY29" s="60">
        <f t="shared" si="104"/>
        <v>0</v>
      </c>
      <c r="AZ29" s="52"/>
      <c r="BA29" s="52"/>
      <c r="BB29" s="52"/>
      <c r="BC29" s="52"/>
      <c r="BD29" s="52"/>
      <c r="BE29" s="52"/>
      <c r="BF29" s="35"/>
    </row>
    <row r="30" spans="1:59" s="8" customFormat="1" ht="15" customHeight="1" x14ac:dyDescent="0.25">
      <c r="A30" s="21" t="s">
        <v>6</v>
      </c>
      <c r="B30" s="81"/>
      <c r="C30" s="66">
        <f>IF(C23&lt;&gt;"Dim",IF(C28&gt;35,(MIN(C28,43)-35),0),0)</f>
        <v>0</v>
      </c>
      <c r="D30" s="66">
        <f>IF(D23&lt;&gt;"Dim",IF(SUM($C28:D28)&gt;35,(MIN(SUM($C28:D28),43)-35-SUM($C30:C30)),0),0)</f>
        <v>0</v>
      </c>
      <c r="E30" s="66">
        <f>IF(E23&lt;&gt;"Dim",IF(SUM($C28:E28)&gt;35,(MIN(SUM($C28:E28),43)-35-SUM($C30:D30)),0),0)</f>
        <v>0</v>
      </c>
      <c r="F30" s="66">
        <f>IF(F23&lt;&gt;"Dim",IF(SUM($C28:F28)&gt;35,(MIN(SUM($C28:F28),43)-35-SUM($C30:E30)),0),0)</f>
        <v>0</v>
      </c>
      <c r="G30" s="66">
        <f>IF(G23&lt;&gt;"Dim",IF(SUM($C28:G28)&gt;35,(MIN(SUM($C28:G28),43)-35-SUM($C30:F30)),0),0)</f>
        <v>0</v>
      </c>
      <c r="H30" s="66">
        <f>IF(H23&lt;&gt;"Dim",IF(SUM($C28:H28)&gt;35,(MIN(SUM($C28:H28),43)-35-SUM($C30:G30)),0),0)</f>
        <v>0</v>
      </c>
      <c r="I30" s="66">
        <f>IF(I23&lt;&gt;"Dim",IF(SUM($C28:I28)&gt;35,(MIN(SUM($C28:I28),43)-35-SUM($C30:H30)),0),0)</f>
        <v>0</v>
      </c>
      <c r="J30" s="60">
        <f t="shared" si="94"/>
        <v>0</v>
      </c>
      <c r="K30" s="60"/>
      <c r="L30" s="66">
        <f>IF(L23&lt;&gt;"Dim",IF(L28&gt;35,(MIN(L28,43)-35),0),0)</f>
        <v>0</v>
      </c>
      <c r="M30" s="66">
        <f>IF(M23&lt;&gt;"Dim",IF(SUM($L28:M28)&gt;35,(MIN(SUM($L28:M28),43)-35-SUM($L30:L30)),0),0)</f>
        <v>0</v>
      </c>
      <c r="N30" s="66">
        <f>IF(N23&lt;&gt;"Dim",IF(SUM($L28:N28)&gt;35,(MIN(SUM($L28:N28),43)-35-SUM($L30:M30)),0),0)</f>
        <v>0</v>
      </c>
      <c r="O30" s="66">
        <f>IF(O23&lt;&gt;"Dim",IF(SUM($L28:O28)&gt;35,(MIN(SUM($L28:O28),43)-35-SUM($L30:N30)),0),0)</f>
        <v>0</v>
      </c>
      <c r="P30" s="66">
        <f>IF(P23&lt;&gt;"Dim",IF(SUM($L28:P28)&gt;35,(MIN(SUM($L28:P28),43)-35-SUM($L30:O30)),0),0)</f>
        <v>0</v>
      </c>
      <c r="Q30" s="66">
        <f>IF(Q23&lt;&gt;"Dim",IF(SUM($L28:Q28)&gt;35,(MIN(SUM($L28:Q28),43)-35-SUM($L30:P30)),0),0)</f>
        <v>0</v>
      </c>
      <c r="R30" s="66">
        <f>IF(R23&lt;&gt;"Dim",IF(SUM($L28:R28)&gt;35,(MIN(SUM($L28:R28),43)-35-SUM($L30:Q30)),0),0)</f>
        <v>0</v>
      </c>
      <c r="S30" s="60">
        <f t="shared" si="96"/>
        <v>0</v>
      </c>
      <c r="T30" s="60"/>
      <c r="U30" s="66">
        <f>IF(U23&lt;&gt;"Dim",IF(U28&gt;35,(MIN(U28,43)-35),0),0)</f>
        <v>0</v>
      </c>
      <c r="V30" s="66">
        <f>IF(V23&lt;&gt;"Dim",IF(SUM($U28:V28)&gt;35,(MIN(SUM($U28:V28),43)-35-SUM($U30:U30)),0),0)</f>
        <v>0</v>
      </c>
      <c r="W30" s="66">
        <f>IF(W23&lt;&gt;"Dim",IF(SUM($U28:W28)&gt;35,(MIN(SUM($U28:W28),43)-35-SUM($U30:V30)),0),0)</f>
        <v>0</v>
      </c>
      <c r="X30" s="66">
        <f>IF(X23&lt;&gt;"Dim",IF(SUM($U28:X28)&gt;35,(MIN(SUM($U28:X28),43)-35-SUM($U30:W30)),0),0)</f>
        <v>0</v>
      </c>
      <c r="Y30" s="66">
        <f>IF(Y23&lt;&gt;"Dim",IF(SUM($U28:Y28)&gt;35,(MIN(SUM($U28:Y28),43)-35-SUM($U30:X30)),0),0)</f>
        <v>0</v>
      </c>
      <c r="Z30" s="66">
        <f>IF(Z23&lt;&gt;"Dim",IF(SUM($U28:Z28)&gt;35,(MIN(SUM($U28:Z28),43)-35-SUM($U30:Y30)),0),0)</f>
        <v>0</v>
      </c>
      <c r="AA30" s="66">
        <f>IF(AA23&lt;&gt;"Dim",IF(SUM($U28:AA28)&gt;35,(MIN(SUM($U28:AA28),43)-35-SUM($U30:Z30)),0),0)</f>
        <v>0</v>
      </c>
      <c r="AB30" s="60">
        <f t="shared" si="98"/>
        <v>0</v>
      </c>
      <c r="AC30" s="60"/>
      <c r="AD30" s="66">
        <f>IF(AD23&lt;&gt;"Dim",IF(AD28&gt;35,(MIN(AD28,43)-35),0),0)</f>
        <v>0</v>
      </c>
      <c r="AE30" s="66">
        <f>IF(AE23&lt;&gt;"Dim",IF(SUM($AD28:AE28)&gt;35,(MIN(SUM($AD28:AE28),43)-35-SUM($AD30:AD30)),0),0)</f>
        <v>0</v>
      </c>
      <c r="AF30" s="66">
        <f>IF(AF23&lt;&gt;"Dim",IF(SUM($AD28:AF28)&gt;35,(MIN(SUM($AD28:AF28),43)-35-SUM($AD30:AE30)),0),0)</f>
        <v>0</v>
      </c>
      <c r="AG30" s="66">
        <f>IF(AG23&lt;&gt;"Dim",IF(SUM($AD28:AG28)&gt;35,(MIN(SUM($AD28:AG28),43)-35-SUM($AD30:AF30)),0),0)</f>
        <v>0</v>
      </c>
      <c r="AH30" s="66">
        <f>IF(AH23&lt;&gt;"Dim",IF(SUM($AD28:AH28)&gt;35,(MIN(SUM($AD28:AH28),43)-35-SUM($AD30:AG30)),0),0)</f>
        <v>0</v>
      </c>
      <c r="AI30" s="66">
        <f>IF(AI23&lt;&gt;"Dim",IF(SUM($AD28:AI28)&gt;35,(MIN(SUM($AD28:AI28),43)-35-SUM($AD30:AH30)),0),0)</f>
        <v>0</v>
      </c>
      <c r="AJ30" s="66">
        <f>IF(AJ23&lt;&gt;"Dim",IF(SUM($AD28:AJ28)&gt;35,(MIN(SUM($AD28:AJ28),43)-35-SUM($AD30:AI30)),0),0)</f>
        <v>0</v>
      </c>
      <c r="AK30" s="60">
        <f t="shared" si="100"/>
        <v>0</v>
      </c>
      <c r="AL30" s="60"/>
      <c r="AM30" s="66">
        <f>IF(AM23&lt;&gt;"Dim",IF(AM28&gt;35,(MIN(AM28,43)-35),0),0)</f>
        <v>0</v>
      </c>
      <c r="AN30" s="66">
        <f>IF(AN23&lt;&gt;"Dim",IF(SUM($AM28:AN28)&gt;35,(MIN(SUM($AM28:AN28),43)-35-SUM($AM30:AM30)),0),0)</f>
        <v>0</v>
      </c>
      <c r="AO30" s="66">
        <f>IF(AO23&lt;&gt;"Dim",IF(SUM($AM28:AO28)&gt;35,(MIN(SUM($AM28:AO28),43)-35-SUM($AM30:AN30)),0),0)</f>
        <v>0</v>
      </c>
      <c r="AP30" s="66">
        <f>IF(AP23&lt;&gt;"Dim",IF(SUM($AM28:AP28)&gt;35,(MIN(SUM($AM28:AP28),43)-35-SUM($AM30:AO30)),0),0)</f>
        <v>0</v>
      </c>
      <c r="AQ30" s="66">
        <f>IF(AQ23&lt;&gt;"Dim",IF(SUM($AM28:AQ28)&gt;35,(MIN(SUM($AM28:AQ28),43)-35-SUM($AM30:AP30)),0),0)</f>
        <v>0</v>
      </c>
      <c r="AR30" s="66">
        <f>IF(AR23&lt;&gt;"Dim",IF(SUM($AM28:AR28)&gt;35,(MIN(SUM($AM28:AR28),43)-35-SUM($AM30:AQ30)),0),0)</f>
        <v>0</v>
      </c>
      <c r="AS30" s="66">
        <f>IF(AS23&lt;&gt;"Dim",IF(SUM($AM28:AS28)&gt;35,(MIN(SUM($AM28:AS28),43)-35-SUM($AM30:AR30)),0),0)</f>
        <v>0</v>
      </c>
      <c r="AT30" s="60">
        <f t="shared" si="102"/>
        <v>0</v>
      </c>
      <c r="AU30" s="60"/>
      <c r="AV30" s="66">
        <f>IF(AV23&lt;&gt;"Dim",IF(AV28&gt;35,(MIN(AV28,43)-35),0),0)</f>
        <v>0</v>
      </c>
      <c r="AW30" s="66">
        <f>IF(AW23&lt;&gt;"Dim",IF(SUM($AV28:AW28)&gt;35,(MIN(SUM($AV28:AW28),43)-35-SUM($AV30:AV30)),0),0)</f>
        <v>0</v>
      </c>
      <c r="AX30" s="60">
        <f t="shared" si="92"/>
        <v>0</v>
      </c>
      <c r="AY30" s="60">
        <f t="shared" si="104"/>
        <v>0</v>
      </c>
      <c r="AZ30" s="52"/>
      <c r="BA30" s="52"/>
      <c r="BB30" s="52"/>
      <c r="BC30" s="52"/>
      <c r="BD30" s="52"/>
      <c r="BE30" s="52"/>
      <c r="BF30" s="35"/>
    </row>
    <row r="31" spans="1:59" s="8" customFormat="1" ht="15" customHeight="1" x14ac:dyDescent="0.25">
      <c r="A31" s="21" t="s">
        <v>5</v>
      </c>
      <c r="B31" s="81"/>
      <c r="C31" s="66">
        <f>IF(C23&lt;&gt;"Dim",IF(C28&gt;43,(MIN(C28,48)-43),0),0)</f>
        <v>0</v>
      </c>
      <c r="D31" s="66">
        <f>IF(D23&lt;&gt;"Dim",IF(SUM($C28:D28)&gt;43,(MIN(SUM($C28:D28),48)-43-SUM($C31:C31)),0),0)</f>
        <v>0</v>
      </c>
      <c r="E31" s="66">
        <f>IF(E23&lt;&gt;"Dim",IF(SUM($C28:E28)&gt;43,(MIN(SUM($C28:E28),48)-43-SUM($C31:D31)),0),0)</f>
        <v>0</v>
      </c>
      <c r="F31" s="66">
        <f>IF(F23&lt;&gt;"Dim",IF(SUM($C28:F28)&gt;43,(MIN(SUM($C28:F28),48)-43-SUM($C31:E31)),0),0)</f>
        <v>0</v>
      </c>
      <c r="G31" s="66">
        <f>IF(G23&lt;&gt;"Dim",IF(SUM($C28:G28)&gt;43,(MIN(SUM($C28:G28),48)-43-SUM($C31:F31)),0),0)</f>
        <v>0</v>
      </c>
      <c r="H31" s="66">
        <f>IF(H23&lt;&gt;"Dim",IF(SUM($C28:H28)&gt;43,(MIN(SUM($C28:H28),48)-43-SUM($C31:G31)),0),0)</f>
        <v>0</v>
      </c>
      <c r="I31" s="66">
        <f>IF(I23&lt;&gt;"Dim",IF(SUM($C28:I28)&gt;43,(MIN(SUM($C28:I28),48)-43-SUM($C31:H31)),0),0)</f>
        <v>0</v>
      </c>
      <c r="J31" s="60">
        <f t="shared" si="94"/>
        <v>0</v>
      </c>
      <c r="K31" s="60"/>
      <c r="L31" s="66">
        <f>IF(L23&lt;&gt;"Dim",IF(L28&gt;43,(MIN(L28,48)-43),0),0)</f>
        <v>0</v>
      </c>
      <c r="M31" s="66">
        <f>IF(M23&lt;&gt;"Dim",IF(SUM($L28:M28)&gt;43,(MIN(SUM($L28:M28),48)-43-SUM($L31:L31)),0),0)</f>
        <v>0</v>
      </c>
      <c r="N31" s="66">
        <f>IF(N23&lt;&gt;"Dim",IF(SUM($L28:N28)&gt;43,(MIN(SUM($L28:N28),48)-43-SUM($L31:M31)),0),0)</f>
        <v>0</v>
      </c>
      <c r="O31" s="66">
        <f>IF(O23&lt;&gt;"Dim",IF(SUM($L28:O28)&gt;43,(MIN(SUM($L28:O28),48)-43-SUM($L31:N31)),0),0)</f>
        <v>0</v>
      </c>
      <c r="P31" s="66">
        <f>IF(P23&lt;&gt;"Dim",IF(SUM($L28:P28)&gt;43,(MIN(SUM($L28:P28),48)-43-SUM($L31:O31)),0),0)</f>
        <v>0</v>
      </c>
      <c r="Q31" s="66">
        <f>IF(Q23&lt;&gt;"Dim",IF(SUM($L28:Q28)&gt;43,(MIN(SUM($L28:Q28),48)-43-SUM($L31:P31)),0),0)</f>
        <v>0</v>
      </c>
      <c r="R31" s="66">
        <f>IF(R23&lt;&gt;"Dim",IF(SUM($L28:R28)&gt;43,(MIN(SUM($L28:R28),48)-43-SUM($L31:Q31)),0),0)</f>
        <v>0</v>
      </c>
      <c r="S31" s="60">
        <f t="shared" si="96"/>
        <v>0</v>
      </c>
      <c r="T31" s="60"/>
      <c r="U31" s="66">
        <f>IF(U23&lt;&gt;"Dim",IF(U28&gt;43,(MIN(U28,48)-43),0),0)</f>
        <v>0</v>
      </c>
      <c r="V31" s="66">
        <f>IF(V23&lt;&gt;"Dim",IF(SUM($U28:V28)&gt;43,(MIN(SUM($U28:V28),48)-43-SUM($U31:U31)),0),0)</f>
        <v>0</v>
      </c>
      <c r="W31" s="66">
        <f>IF(W23&lt;&gt;"Dim",IF(SUM($U28:W28)&gt;43,(MIN(SUM($U28:W28),48)-43-SUM($U31:V31)),0),0)</f>
        <v>0</v>
      </c>
      <c r="X31" s="66">
        <f>IF(X23&lt;&gt;"Dim",IF(SUM($U28:X28)&gt;43,(MIN(SUM($U28:X28),48)-43-SUM($U31:W31)),0),0)</f>
        <v>0</v>
      </c>
      <c r="Y31" s="66">
        <f>IF(Y23&lt;&gt;"Dim",IF(SUM($U28:Y28)&gt;43,(MIN(SUM($U28:Y28),48)-43-SUM($U31:X31)),0),0)</f>
        <v>0</v>
      </c>
      <c r="Z31" s="66">
        <f>IF(Z23&lt;&gt;"Dim",IF(SUM($U28:Z28)&gt;43,(MIN(SUM($U28:Z28),48)-43-SUM($U31:Y31)),0),0)</f>
        <v>0</v>
      </c>
      <c r="AA31" s="66">
        <f>IF(AA23&lt;&gt;"Dim",IF(SUM($U28:AA28)&gt;43,(MIN(SUM($U28:AA28),48)-43-SUM($U31:Z31)),0),0)</f>
        <v>0</v>
      </c>
      <c r="AB31" s="60">
        <f t="shared" si="98"/>
        <v>0</v>
      </c>
      <c r="AC31" s="60"/>
      <c r="AD31" s="66">
        <f>IF(AD23&lt;&gt;"Dim",IF(AD28&gt;43,(MIN(AD28,48)-43),0),0)</f>
        <v>0</v>
      </c>
      <c r="AE31" s="66">
        <f>IF(AE23&lt;&gt;"Dim",IF(SUM($AD28:AE28)&gt;43,(MIN(SUM($AD28:AE28),48)-43-SUM($AD31:AD31)),0),0)</f>
        <v>0</v>
      </c>
      <c r="AF31" s="66">
        <f>IF(AF23&lt;&gt;"Dim",IF(SUM($AD28:AF28)&gt;43,(MIN(SUM($AD28:AF28),48)-43-SUM($AD31:AE31)),0),0)</f>
        <v>0</v>
      </c>
      <c r="AG31" s="66">
        <f>IF(AG23&lt;&gt;"Dim",IF(SUM($AD28:AG28)&gt;43,(MIN(SUM($AD28:AG28),48)-43-SUM($AD31:AF31)),0),0)</f>
        <v>0</v>
      </c>
      <c r="AH31" s="66">
        <f>IF(AH23&lt;&gt;"Dim",IF(SUM($AD28:AH28)&gt;43,(MIN(SUM($AD28:AH28),48)-43-SUM($AD31:AG31)),0),0)</f>
        <v>0</v>
      </c>
      <c r="AI31" s="66">
        <f>IF(AI23&lt;&gt;"Dim",IF(SUM($AD28:AI28)&gt;43,(MIN(SUM($AD28:AI28),48)-43-SUM($AD31:AH31)),0),0)</f>
        <v>0</v>
      </c>
      <c r="AJ31" s="66">
        <f>IF(AJ23&lt;&gt;"Dim",IF(SUM($AD28:AJ28)&gt;43,(MIN(SUM($AD28:AJ28),48)-43-SUM($AD31:AI31)),0),0)</f>
        <v>0</v>
      </c>
      <c r="AK31" s="60">
        <f t="shared" si="100"/>
        <v>0</v>
      </c>
      <c r="AL31" s="60"/>
      <c r="AM31" s="66">
        <f>IF(AM23&lt;&gt;"Dim",IF(AM28&gt;43,(MIN(AM28,48)-43),0),0)</f>
        <v>0</v>
      </c>
      <c r="AN31" s="66">
        <f>IF(AN23&lt;&gt;"Dim",IF(SUM($AM28:AN28)&gt;43,(MIN(SUM($AM28:AN28),48)-43-SUM($AM31:AM31)),0),0)</f>
        <v>0</v>
      </c>
      <c r="AO31" s="66">
        <f>IF(AO23&lt;&gt;"Dim",IF(SUM($AM28:AO28)&gt;43,(MIN(SUM($AM28:AO28),48)-43-SUM($AM31:AN31)),0),0)</f>
        <v>0</v>
      </c>
      <c r="AP31" s="66">
        <f>IF(AP23&lt;&gt;"Dim",IF(SUM($AM28:AP28)&gt;43,(MIN(SUM($AM28:AP28),48)-43-SUM($AM31:AO31)),0),0)</f>
        <v>0</v>
      </c>
      <c r="AQ31" s="66">
        <f>IF(AQ23&lt;&gt;"Dim",IF(SUM($AM28:AQ28)&gt;43,(MIN(SUM($AM28:AQ28),48)-43-SUM($AM31:AP31)),0),0)</f>
        <v>0</v>
      </c>
      <c r="AR31" s="66">
        <f>IF(AR23&lt;&gt;"Dim",IF(SUM($AM28:AR28)&gt;43,(MIN(SUM($AM28:AR28),48)-43-SUM($AM31:AQ31)),0),0)</f>
        <v>0</v>
      </c>
      <c r="AS31" s="66">
        <f>IF(AS23&lt;&gt;"Dim",IF(SUM($AM28:AS28)&gt;43,(MIN(SUM($AM28:AS28),48)-43-SUM($AM31:AR31)),0),0)</f>
        <v>0</v>
      </c>
      <c r="AT31" s="60">
        <f t="shared" si="102"/>
        <v>0</v>
      </c>
      <c r="AU31" s="60"/>
      <c r="AV31" s="66">
        <f>IF(AV23&lt;&gt;"Dim",IF(AV28&gt;43,(MIN(AV28,48)-43),0),0)</f>
        <v>0</v>
      </c>
      <c r="AW31" s="66">
        <f>IF(AW23&lt;&gt;"Dim",IF(SUM($AV28:AW28)&gt;43,(MIN(SUM($AV28:AW28),48)-43-SUM($AV31:AV31)),0),0)</f>
        <v>0</v>
      </c>
      <c r="AX31" s="60">
        <f t="shared" si="92"/>
        <v>0</v>
      </c>
      <c r="AY31" s="60">
        <f t="shared" si="104"/>
        <v>0</v>
      </c>
      <c r="AZ31" s="52"/>
      <c r="BA31" s="52"/>
      <c r="BB31" s="52"/>
      <c r="BC31" s="52"/>
      <c r="BD31" s="52"/>
      <c r="BE31" s="52"/>
      <c r="BF31" s="35"/>
    </row>
    <row r="32" spans="1:59" s="8" customFormat="1" ht="15" customHeight="1" x14ac:dyDescent="0.25">
      <c r="A32" s="21" t="s">
        <v>7</v>
      </c>
      <c r="B32" s="81"/>
      <c r="C32" s="66">
        <f>IF(C23="Dim",C28,IF(C38="ferie",C28,0))</f>
        <v>0</v>
      </c>
      <c r="D32" s="66">
        <f t="shared" ref="D32:I32" si="111">IF(D23="Dim",D28,IF(D38="ferie",D28,0))</f>
        <v>0</v>
      </c>
      <c r="E32" s="66">
        <f t="shared" si="111"/>
        <v>0</v>
      </c>
      <c r="F32" s="66">
        <f t="shared" si="111"/>
        <v>0</v>
      </c>
      <c r="G32" s="66">
        <f t="shared" si="111"/>
        <v>0</v>
      </c>
      <c r="H32" s="66">
        <f t="shared" si="111"/>
        <v>0</v>
      </c>
      <c r="I32" s="66">
        <f t="shared" si="111"/>
        <v>0</v>
      </c>
      <c r="J32" s="60">
        <f t="shared" si="94"/>
        <v>0</v>
      </c>
      <c r="K32" s="60"/>
      <c r="L32" s="66">
        <f>IF(L23="Dim",L28,IF(L38="ferie",L28,0))</f>
        <v>0</v>
      </c>
      <c r="M32" s="66">
        <f t="shared" ref="M32:R32" si="112">IF(M23="Dim",M28,IF(M38="ferie",M28,0))</f>
        <v>0</v>
      </c>
      <c r="N32" s="66">
        <f t="shared" si="112"/>
        <v>0</v>
      </c>
      <c r="O32" s="66">
        <f t="shared" si="112"/>
        <v>0</v>
      </c>
      <c r="P32" s="66">
        <f t="shared" si="112"/>
        <v>0</v>
      </c>
      <c r="Q32" s="66">
        <f>IF(Q23="Dim",Q28,IF(Q38="ferie",Q28,0))</f>
        <v>0</v>
      </c>
      <c r="R32" s="66">
        <f t="shared" si="112"/>
        <v>0</v>
      </c>
      <c r="S32" s="60">
        <f t="shared" si="96"/>
        <v>0</v>
      </c>
      <c r="T32" s="60"/>
      <c r="U32" s="66">
        <f>IF(U23="Dim",U28,IF(U38="ferie",U28,0))</f>
        <v>0</v>
      </c>
      <c r="V32" s="66">
        <f t="shared" ref="V32:AA32" si="113">IF(V23="Dim",V28,IF(V38="ferie",V28,0))</f>
        <v>0</v>
      </c>
      <c r="W32" s="66">
        <f t="shared" si="113"/>
        <v>0</v>
      </c>
      <c r="X32" s="66">
        <f t="shared" si="113"/>
        <v>0</v>
      </c>
      <c r="Y32" s="66">
        <f t="shared" si="113"/>
        <v>0</v>
      </c>
      <c r="Z32" s="66">
        <f t="shared" si="113"/>
        <v>0</v>
      </c>
      <c r="AA32" s="66">
        <f t="shared" si="113"/>
        <v>0</v>
      </c>
      <c r="AB32" s="60">
        <f t="shared" si="98"/>
        <v>0</v>
      </c>
      <c r="AC32" s="60"/>
      <c r="AD32" s="66">
        <f>IF(AD23="Dim",AD28,IF(AD38="ferie",AD28,0))</f>
        <v>0</v>
      </c>
      <c r="AE32" s="66">
        <f t="shared" ref="AE32:AJ32" si="114">IF(AE23="Dim",AE28,IF(AE38="ferie",AE28,0))</f>
        <v>0</v>
      </c>
      <c r="AF32" s="66">
        <f t="shared" si="114"/>
        <v>0</v>
      </c>
      <c r="AG32" s="66">
        <f t="shared" si="114"/>
        <v>0</v>
      </c>
      <c r="AH32" s="66">
        <f t="shared" si="114"/>
        <v>0</v>
      </c>
      <c r="AI32" s="66">
        <f t="shared" si="114"/>
        <v>0</v>
      </c>
      <c r="AJ32" s="66">
        <f t="shared" si="114"/>
        <v>0</v>
      </c>
      <c r="AK32" s="60">
        <f t="shared" si="100"/>
        <v>0</v>
      </c>
      <c r="AL32" s="60"/>
      <c r="AM32" s="66">
        <f>IF(AM23="Dim",AM28,IF(AM38="ferie",AM28,0))</f>
        <v>0</v>
      </c>
      <c r="AN32" s="66">
        <f t="shared" ref="AN32:AW32" si="115">IF(AN23="Dim",AN28,IF(AN38="ferie",AN28,0))</f>
        <v>0</v>
      </c>
      <c r="AO32" s="66">
        <f t="shared" si="115"/>
        <v>0</v>
      </c>
      <c r="AP32" s="66">
        <f t="shared" si="115"/>
        <v>0</v>
      </c>
      <c r="AQ32" s="66">
        <f t="shared" si="115"/>
        <v>0</v>
      </c>
      <c r="AR32" s="66">
        <f t="shared" si="115"/>
        <v>0</v>
      </c>
      <c r="AS32" s="66">
        <f t="shared" si="115"/>
        <v>0</v>
      </c>
      <c r="AT32" s="60">
        <f>SUM(AM32:AS32)</f>
        <v>0</v>
      </c>
      <c r="AU32" s="60"/>
      <c r="AV32" s="66">
        <f>IF(AV23="Dim",AV28,IF(AV38="ferie",AV28,0))</f>
        <v>0</v>
      </c>
      <c r="AW32" s="66">
        <f t="shared" si="115"/>
        <v>0</v>
      </c>
      <c r="AX32" s="60">
        <f>SUM(AV32:AW32)</f>
        <v>0</v>
      </c>
      <c r="AY32" s="60">
        <f t="shared" si="104"/>
        <v>0</v>
      </c>
      <c r="AZ32" s="52"/>
      <c r="BA32" s="52"/>
      <c r="BB32" s="52"/>
      <c r="BC32" s="52"/>
      <c r="BD32" s="52"/>
      <c r="BE32" s="52"/>
      <c r="BF32" s="35"/>
    </row>
    <row r="33" spans="1:59" s="8" customFormat="1" ht="15" customHeight="1" x14ac:dyDescent="0.25">
      <c r="A33" s="21" t="s">
        <v>8</v>
      </c>
      <c r="B33" s="81"/>
      <c r="C33" s="31"/>
      <c r="D33" s="31"/>
      <c r="E33" s="31"/>
      <c r="F33" s="31"/>
      <c r="G33" s="31"/>
      <c r="H33" s="31"/>
      <c r="I33" s="31"/>
      <c r="J33" s="60">
        <f t="shared" si="94"/>
        <v>0</v>
      </c>
      <c r="K33" s="60"/>
      <c r="L33" s="31"/>
      <c r="M33" s="31"/>
      <c r="N33" s="31"/>
      <c r="O33" s="31"/>
      <c r="P33" s="31"/>
      <c r="Q33" s="31"/>
      <c r="R33" s="31"/>
      <c r="S33" s="60">
        <f t="shared" si="96"/>
        <v>0</v>
      </c>
      <c r="T33" s="60"/>
      <c r="U33" s="31"/>
      <c r="V33" s="31"/>
      <c r="W33" s="31"/>
      <c r="X33" s="31"/>
      <c r="Y33" s="31"/>
      <c r="Z33" s="31"/>
      <c r="AA33" s="31"/>
      <c r="AB33" s="60">
        <f t="shared" si="98"/>
        <v>0</v>
      </c>
      <c r="AC33" s="60"/>
      <c r="AD33" s="31"/>
      <c r="AE33" s="31"/>
      <c r="AF33" s="31"/>
      <c r="AG33" s="31"/>
      <c r="AH33" s="31"/>
      <c r="AI33" s="31"/>
      <c r="AJ33" s="31"/>
      <c r="AK33" s="60">
        <f t="shared" si="100"/>
        <v>0</v>
      </c>
      <c r="AL33" s="60"/>
      <c r="AM33" s="31"/>
      <c r="AN33" s="31"/>
      <c r="AO33" s="31"/>
      <c r="AP33" s="31"/>
      <c r="AQ33" s="31"/>
      <c r="AR33" s="31"/>
      <c r="AS33" s="31"/>
      <c r="AT33" s="60">
        <f t="shared" si="102"/>
        <v>0</v>
      </c>
      <c r="AU33" s="60"/>
      <c r="AV33" s="31"/>
      <c r="AW33" s="31"/>
      <c r="AX33" s="60">
        <f t="shared" si="92"/>
        <v>0</v>
      </c>
      <c r="AY33" s="60">
        <f t="shared" si="104"/>
        <v>0</v>
      </c>
      <c r="AZ33" s="52"/>
      <c r="BA33" s="52"/>
      <c r="BB33" s="52"/>
      <c r="BC33" s="52"/>
      <c r="BD33" s="52"/>
      <c r="BE33" s="52"/>
      <c r="BF33" s="35"/>
    </row>
    <row r="34" spans="1:59" s="8" customFormat="1" ht="15" customHeight="1" x14ac:dyDescent="0.25">
      <c r="A34" s="36" t="s">
        <v>9</v>
      </c>
      <c r="B34" s="82"/>
      <c r="C34" s="31"/>
      <c r="D34" s="31"/>
      <c r="E34" s="31"/>
      <c r="F34" s="31"/>
      <c r="G34" s="31"/>
      <c r="H34" s="31"/>
      <c r="I34" s="31"/>
      <c r="J34" s="60">
        <f t="shared" si="94"/>
        <v>0</v>
      </c>
      <c r="K34" s="60"/>
      <c r="L34" s="31"/>
      <c r="M34" s="31"/>
      <c r="N34" s="31"/>
      <c r="O34" s="31"/>
      <c r="P34" s="31"/>
      <c r="Q34" s="31"/>
      <c r="R34" s="31"/>
      <c r="S34" s="60">
        <f t="shared" si="96"/>
        <v>0</v>
      </c>
      <c r="T34" s="60"/>
      <c r="U34" s="31"/>
      <c r="V34" s="31"/>
      <c r="W34" s="31"/>
      <c r="X34" s="31"/>
      <c r="Y34" s="31"/>
      <c r="Z34" s="31"/>
      <c r="AA34" s="31"/>
      <c r="AB34" s="60">
        <f t="shared" si="98"/>
        <v>0</v>
      </c>
      <c r="AC34" s="60"/>
      <c r="AD34" s="31"/>
      <c r="AE34" s="31"/>
      <c r="AF34" s="31"/>
      <c r="AG34" s="31"/>
      <c r="AH34" s="31"/>
      <c r="AI34" s="31"/>
      <c r="AJ34" s="31"/>
      <c r="AK34" s="60">
        <f t="shared" si="100"/>
        <v>0</v>
      </c>
      <c r="AL34" s="60"/>
      <c r="AM34" s="31"/>
      <c r="AN34" s="31"/>
      <c r="AO34" s="31"/>
      <c r="AP34" s="31"/>
      <c r="AQ34" s="31"/>
      <c r="AR34" s="31"/>
      <c r="AS34" s="31"/>
      <c r="AT34" s="60">
        <f t="shared" si="102"/>
        <v>0</v>
      </c>
      <c r="AU34" s="60"/>
      <c r="AV34" s="31"/>
      <c r="AW34" s="31"/>
      <c r="AX34" s="60">
        <f t="shared" ref="AX34:AX36" si="116">SUM(AV34:AW34)</f>
        <v>0</v>
      </c>
      <c r="AY34" s="60">
        <f t="shared" si="104"/>
        <v>0</v>
      </c>
      <c r="AZ34" s="53"/>
      <c r="BA34" s="53"/>
      <c r="BB34" s="53"/>
      <c r="BC34" s="53"/>
      <c r="BD34" s="42"/>
      <c r="BE34" s="42"/>
      <c r="BF34" s="32"/>
    </row>
    <row r="35" spans="1:59" s="7" customFormat="1" ht="15" customHeight="1" x14ac:dyDescent="0.25">
      <c r="A35" s="21" t="s">
        <v>11</v>
      </c>
      <c r="B35" s="81"/>
      <c r="C35" s="31"/>
      <c r="D35" s="31"/>
      <c r="E35" s="31"/>
      <c r="F35" s="31"/>
      <c r="G35" s="31"/>
      <c r="H35" s="31"/>
      <c r="I35" s="31"/>
      <c r="J35" s="60">
        <f t="shared" si="94"/>
        <v>0</v>
      </c>
      <c r="K35" s="60"/>
      <c r="L35" s="31"/>
      <c r="M35" s="31"/>
      <c r="N35" s="31"/>
      <c r="O35" s="31"/>
      <c r="P35" s="31"/>
      <c r="Q35" s="31"/>
      <c r="R35" s="31"/>
      <c r="S35" s="60">
        <f t="shared" si="96"/>
        <v>0</v>
      </c>
      <c r="T35" s="60"/>
      <c r="U35" s="31"/>
      <c r="V35" s="31"/>
      <c r="W35" s="31"/>
      <c r="X35" s="31"/>
      <c r="Y35" s="31"/>
      <c r="Z35" s="31"/>
      <c r="AA35" s="31"/>
      <c r="AB35" s="60">
        <f t="shared" si="98"/>
        <v>0</v>
      </c>
      <c r="AC35" s="60"/>
      <c r="AD35" s="31"/>
      <c r="AE35" s="31"/>
      <c r="AF35" s="31"/>
      <c r="AG35" s="31"/>
      <c r="AH35" s="31"/>
      <c r="AI35" s="31"/>
      <c r="AJ35" s="31"/>
      <c r="AK35" s="60">
        <f t="shared" si="100"/>
        <v>0</v>
      </c>
      <c r="AL35" s="60"/>
      <c r="AM35" s="31"/>
      <c r="AN35" s="31"/>
      <c r="AO35" s="31"/>
      <c r="AP35" s="31"/>
      <c r="AQ35" s="31"/>
      <c r="AR35" s="31"/>
      <c r="AS35" s="31"/>
      <c r="AT35" s="60">
        <f t="shared" si="102"/>
        <v>0</v>
      </c>
      <c r="AU35" s="60"/>
      <c r="AV35" s="31"/>
      <c r="AW35" s="31"/>
      <c r="AX35" s="60">
        <f t="shared" si="116"/>
        <v>0</v>
      </c>
      <c r="AY35" s="60">
        <f t="shared" si="104"/>
        <v>0</v>
      </c>
      <c r="AZ35" s="40"/>
      <c r="BA35" s="40"/>
      <c r="BB35" s="40"/>
      <c r="BC35" s="40"/>
      <c r="BD35" s="40"/>
      <c r="BE35" s="40"/>
      <c r="BF35" s="29"/>
    </row>
    <row r="36" spans="1:59" s="7" customFormat="1" ht="15" customHeight="1" x14ac:dyDescent="0.25">
      <c r="A36" s="36" t="s">
        <v>10</v>
      </c>
      <c r="B36" s="82"/>
      <c r="C36" s="31"/>
      <c r="D36" s="31"/>
      <c r="E36" s="31"/>
      <c r="F36" s="31"/>
      <c r="G36" s="31"/>
      <c r="H36" s="31"/>
      <c r="I36" s="31"/>
      <c r="J36" s="60">
        <f t="shared" si="94"/>
        <v>0</v>
      </c>
      <c r="K36" s="60"/>
      <c r="L36" s="31"/>
      <c r="M36" s="31"/>
      <c r="N36" s="31"/>
      <c r="O36" s="31"/>
      <c r="P36" s="31"/>
      <c r="Q36" s="31"/>
      <c r="R36" s="31"/>
      <c r="S36" s="60">
        <f t="shared" si="96"/>
        <v>0</v>
      </c>
      <c r="T36" s="60"/>
      <c r="U36" s="31"/>
      <c r="V36" s="31"/>
      <c r="W36" s="31"/>
      <c r="X36" s="31"/>
      <c r="Y36" s="31"/>
      <c r="Z36" s="31"/>
      <c r="AA36" s="31"/>
      <c r="AB36" s="60">
        <f t="shared" si="98"/>
        <v>0</v>
      </c>
      <c r="AC36" s="60"/>
      <c r="AD36" s="31"/>
      <c r="AE36" s="31"/>
      <c r="AF36" s="31"/>
      <c r="AG36" s="31"/>
      <c r="AH36" s="31"/>
      <c r="AI36" s="31"/>
      <c r="AJ36" s="31"/>
      <c r="AK36" s="60">
        <f t="shared" si="100"/>
        <v>0</v>
      </c>
      <c r="AL36" s="60"/>
      <c r="AM36" s="31"/>
      <c r="AN36" s="31"/>
      <c r="AO36" s="31"/>
      <c r="AP36" s="31"/>
      <c r="AQ36" s="31"/>
      <c r="AR36" s="31"/>
      <c r="AS36" s="31"/>
      <c r="AT36" s="60">
        <f t="shared" si="102"/>
        <v>0</v>
      </c>
      <c r="AU36" s="60"/>
      <c r="AV36" s="31"/>
      <c r="AW36" s="31"/>
      <c r="AX36" s="60">
        <f t="shared" si="116"/>
        <v>0</v>
      </c>
      <c r="AY36" s="60">
        <f t="shared" si="104"/>
        <v>0</v>
      </c>
      <c r="AZ36" s="40"/>
      <c r="BA36" s="40"/>
      <c r="BB36" s="40"/>
      <c r="BC36" s="40"/>
      <c r="BD36" s="40"/>
      <c r="BE36" s="40"/>
      <c r="BF36" s="29"/>
    </row>
    <row r="37" spans="1:59" s="33" customFormat="1" ht="15" customHeight="1" x14ac:dyDescent="0.25">
      <c r="A37" s="36" t="s">
        <v>44</v>
      </c>
      <c r="B37" s="82"/>
      <c r="C37" s="60">
        <f>IF(C25="nuit",C28*0.02,0)</f>
        <v>0</v>
      </c>
      <c r="D37" s="60">
        <f>IF(D25="nuit",D28*0.02,0)</f>
        <v>0</v>
      </c>
      <c r="E37" s="60">
        <f t="shared" ref="E37:I37" si="117">IF(E25="nuit",E28*0.02,0)</f>
        <v>0</v>
      </c>
      <c r="F37" s="60">
        <f t="shared" si="117"/>
        <v>0</v>
      </c>
      <c r="G37" s="60">
        <f>IF(G25="nuit",G28*0.02,0)</f>
        <v>0</v>
      </c>
      <c r="H37" s="60">
        <f t="shared" si="117"/>
        <v>0</v>
      </c>
      <c r="I37" s="60">
        <f t="shared" si="117"/>
        <v>0</v>
      </c>
      <c r="J37" s="60">
        <f t="shared" si="94"/>
        <v>0</v>
      </c>
      <c r="K37" s="60"/>
      <c r="L37" s="60">
        <f>IF(L25="nuit",L28*0.02,0)</f>
        <v>0</v>
      </c>
      <c r="M37" s="60">
        <f>IF(M25="nuit",M28*0.02,0)</f>
        <v>0</v>
      </c>
      <c r="N37" s="60">
        <f t="shared" ref="N37:R37" si="118">IF(N25="nuit",N28*0.02,0)</f>
        <v>0</v>
      </c>
      <c r="O37" s="60">
        <f t="shared" si="118"/>
        <v>0</v>
      </c>
      <c r="P37" s="60">
        <f>IF(P25="nuit",P28*0.02,0)</f>
        <v>0</v>
      </c>
      <c r="Q37" s="60">
        <f t="shared" si="118"/>
        <v>0</v>
      </c>
      <c r="R37" s="60">
        <f t="shared" si="118"/>
        <v>0</v>
      </c>
      <c r="S37" s="60">
        <f t="shared" si="96"/>
        <v>0</v>
      </c>
      <c r="T37" s="60"/>
      <c r="U37" s="60">
        <f>IF(U25="nuit",U28*0.02,0)</f>
        <v>0</v>
      </c>
      <c r="V37" s="60">
        <f>IF(V25="nuit",V28*0.02,0)</f>
        <v>0</v>
      </c>
      <c r="W37" s="60">
        <f t="shared" ref="W37:AA37" si="119">IF(W25="nuit",W28*0.02,0)</f>
        <v>0</v>
      </c>
      <c r="X37" s="60">
        <f t="shared" si="119"/>
        <v>0</v>
      </c>
      <c r="Y37" s="60">
        <f>IF(Y25="nuit",Y28*0.02,0)</f>
        <v>0</v>
      </c>
      <c r="Z37" s="60">
        <f t="shared" si="119"/>
        <v>0</v>
      </c>
      <c r="AA37" s="60">
        <f t="shared" si="119"/>
        <v>0</v>
      </c>
      <c r="AB37" s="60">
        <f t="shared" si="98"/>
        <v>0</v>
      </c>
      <c r="AC37" s="60"/>
      <c r="AD37" s="60">
        <f>IF(AD25="nuit",AD28*0.02,0)</f>
        <v>0</v>
      </c>
      <c r="AE37" s="60">
        <f>IF(AE25="nuit",AE28*0.02,0)</f>
        <v>0</v>
      </c>
      <c r="AF37" s="60">
        <f t="shared" ref="AF37:AJ37" si="120">IF(AF25="nuit",AF28*0.02,0)</f>
        <v>0</v>
      </c>
      <c r="AG37" s="60">
        <f t="shared" si="120"/>
        <v>0</v>
      </c>
      <c r="AH37" s="60">
        <f>IF(AH25="nuit",AH28*0.02,0)</f>
        <v>0</v>
      </c>
      <c r="AI37" s="60">
        <f t="shared" si="120"/>
        <v>0</v>
      </c>
      <c r="AJ37" s="60">
        <f t="shared" si="120"/>
        <v>0</v>
      </c>
      <c r="AK37" s="60">
        <f t="shared" si="100"/>
        <v>0</v>
      </c>
      <c r="AL37" s="60"/>
      <c r="AM37" s="60">
        <f>IF(AM25="nuit",AM28*0.02,0)</f>
        <v>0</v>
      </c>
      <c r="AN37" s="60">
        <f>IF(AN25="nuit",AN28*0.02,0)</f>
        <v>0</v>
      </c>
      <c r="AO37" s="60">
        <f t="shared" ref="AO37:AS37" si="121">IF(AO25="nuit",AO28*0.02,0)</f>
        <v>0</v>
      </c>
      <c r="AP37" s="60">
        <f t="shared" si="121"/>
        <v>0</v>
      </c>
      <c r="AQ37" s="60">
        <f>IF(AQ25="nuit",AQ28*0.02,0)</f>
        <v>0</v>
      </c>
      <c r="AR37" s="60">
        <f t="shared" si="121"/>
        <v>0</v>
      </c>
      <c r="AS37" s="60">
        <f t="shared" si="121"/>
        <v>0</v>
      </c>
      <c r="AT37" s="60">
        <f t="shared" si="102"/>
        <v>0</v>
      </c>
      <c r="AU37" s="60"/>
      <c r="AV37" s="60">
        <f>IF(AV25="nuit",AV28*0.02,0)</f>
        <v>0</v>
      </c>
      <c r="AW37" s="60">
        <f>IF(AW25="nuit",AW28*0.02,0)</f>
        <v>0</v>
      </c>
      <c r="AX37" s="60">
        <f>SUM(AV37:AW37)</f>
        <v>0</v>
      </c>
      <c r="AY37" s="60">
        <f>J37+S37+AB37+AK37+AT37+AX37</f>
        <v>0</v>
      </c>
      <c r="AZ37" s="52"/>
      <c r="BA37" s="52"/>
      <c r="BB37" s="52"/>
      <c r="BC37" s="52"/>
      <c r="BD37" s="52"/>
      <c r="BE37" s="52"/>
      <c r="BF37" s="35"/>
    </row>
    <row r="38" spans="1:59" s="7" customFormat="1" ht="15" customHeight="1" x14ac:dyDescent="0.25">
      <c r="A38" s="21" t="s">
        <v>31</v>
      </c>
      <c r="B38" s="81"/>
      <c r="C38" s="31"/>
      <c r="D38" s="31"/>
      <c r="E38" s="31"/>
      <c r="F38" s="31"/>
      <c r="G38" s="31"/>
      <c r="H38" s="37"/>
      <c r="I38" s="37"/>
      <c r="J38" s="64"/>
      <c r="K38" s="64"/>
      <c r="L38" s="37"/>
      <c r="M38" s="37"/>
      <c r="N38" s="37"/>
      <c r="O38" s="37"/>
      <c r="P38" s="37"/>
      <c r="Q38" s="37"/>
      <c r="R38" s="37"/>
      <c r="S38" s="64"/>
      <c r="T38" s="64"/>
      <c r="U38" s="37"/>
      <c r="V38" s="37"/>
      <c r="W38" s="37"/>
      <c r="X38" s="37"/>
      <c r="Y38" s="37"/>
      <c r="Z38" s="37"/>
      <c r="AA38" s="37"/>
      <c r="AB38" s="64"/>
      <c r="AC38" s="64"/>
      <c r="AD38" s="37"/>
      <c r="AE38" s="37"/>
      <c r="AF38" s="37"/>
      <c r="AG38" s="37"/>
      <c r="AH38" s="37"/>
      <c r="AI38" s="37"/>
      <c r="AJ38" s="37"/>
      <c r="AK38" s="64"/>
      <c r="AL38" s="64"/>
      <c r="AM38" s="37"/>
      <c r="AN38" s="37"/>
      <c r="AO38" s="37"/>
      <c r="AP38" s="37"/>
      <c r="AQ38" s="37"/>
      <c r="AR38" s="37"/>
      <c r="AS38" s="37"/>
      <c r="AT38" s="64"/>
      <c r="AU38" s="64"/>
      <c r="AV38" s="37"/>
      <c r="AW38" s="37"/>
      <c r="AX38" s="64"/>
      <c r="AY38" s="65"/>
      <c r="AZ38" s="31"/>
      <c r="BA38" s="31"/>
      <c r="BB38" s="31"/>
      <c r="BC38" s="31"/>
      <c r="BD38" s="31"/>
      <c r="BE38" s="31"/>
      <c r="BF38" s="41"/>
    </row>
    <row r="39" spans="1:59" s="7" customFormat="1" ht="15" customHeight="1" x14ac:dyDescent="0.25">
      <c r="A39" s="38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69"/>
      <c r="AZ39" s="46"/>
      <c r="BA39" s="46"/>
      <c r="BB39" s="46"/>
      <c r="BC39" s="46"/>
      <c r="BD39" s="46"/>
      <c r="BE39" s="46"/>
      <c r="BF39" s="35"/>
    </row>
    <row r="40" spans="1:59" s="7" customFormat="1" ht="27.6" x14ac:dyDescent="0.25">
      <c r="A40" s="21"/>
      <c r="B40" s="21"/>
      <c r="C40" s="24" t="s">
        <v>21</v>
      </c>
      <c r="D40" s="24"/>
      <c r="E40" s="24"/>
      <c r="F40" s="24"/>
      <c r="G40" s="24"/>
      <c r="H40" s="95">
        <f>Année_Calendaire</f>
        <v>2016</v>
      </c>
      <c r="I40" s="95"/>
      <c r="J40" s="49"/>
      <c r="K40" s="79"/>
      <c r="L40" s="31"/>
      <c r="M40" s="31"/>
      <c r="N40" s="31"/>
      <c r="O40" s="31"/>
      <c r="P40" s="31"/>
      <c r="Q40" s="31"/>
      <c r="R40" s="31"/>
      <c r="S40" s="49"/>
      <c r="T40" s="79"/>
      <c r="U40" s="24" t="s">
        <v>21</v>
      </c>
      <c r="V40" s="24"/>
      <c r="W40" s="24"/>
      <c r="X40" s="24"/>
      <c r="Y40" s="24"/>
      <c r="Z40" s="95">
        <f>Année_Calendaire</f>
        <v>2016</v>
      </c>
      <c r="AA40" s="95"/>
      <c r="AB40" s="49"/>
      <c r="AC40" s="79"/>
      <c r="AD40" s="31"/>
      <c r="AE40" s="31"/>
      <c r="AF40" s="31"/>
      <c r="AG40" s="31"/>
      <c r="AH40" s="31"/>
      <c r="AI40" s="31"/>
      <c r="AJ40" s="31"/>
      <c r="AK40" s="49"/>
      <c r="AL40" s="79"/>
      <c r="AM40" s="24" t="s">
        <v>21</v>
      </c>
      <c r="AN40" s="24"/>
      <c r="AO40" s="24"/>
      <c r="AP40" s="24"/>
      <c r="AQ40" s="24"/>
      <c r="AR40" s="95">
        <f>Année_Calendaire</f>
        <v>2016</v>
      </c>
      <c r="AS40" s="95"/>
      <c r="AT40" s="49"/>
      <c r="AU40" s="79"/>
      <c r="AV40" s="31"/>
      <c r="AW40" s="31"/>
      <c r="AX40" s="49"/>
      <c r="AY40" s="46"/>
      <c r="AZ40" s="46"/>
      <c r="BA40" s="46"/>
      <c r="BB40" s="46"/>
      <c r="BC40" s="46"/>
      <c r="BD40" s="46"/>
      <c r="BE40" s="46"/>
      <c r="BF40" s="35"/>
    </row>
    <row r="41" spans="1:59" s="7" customFormat="1" ht="29.25" customHeight="1" x14ac:dyDescent="0.25">
      <c r="A41" s="31"/>
      <c r="B41" s="31"/>
      <c r="C41" s="62" t="s">
        <v>13</v>
      </c>
      <c r="D41" s="62" t="s">
        <v>14</v>
      </c>
      <c r="E41" s="62" t="s">
        <v>15</v>
      </c>
      <c r="F41" s="62" t="s">
        <v>16</v>
      </c>
      <c r="G41" s="62" t="s">
        <v>17</v>
      </c>
      <c r="H41" s="62" t="s">
        <v>18</v>
      </c>
      <c r="I41" s="62" t="s">
        <v>19</v>
      </c>
      <c r="J41" s="96" t="s">
        <v>32</v>
      </c>
      <c r="K41" s="85"/>
      <c r="L41" s="62" t="s">
        <v>13</v>
      </c>
      <c r="M41" s="62" t="s">
        <v>14</v>
      </c>
      <c r="N41" s="62" t="s">
        <v>15</v>
      </c>
      <c r="O41" s="62" t="s">
        <v>16</v>
      </c>
      <c r="P41" s="62" t="s">
        <v>17</v>
      </c>
      <c r="Q41" s="62" t="s">
        <v>18</v>
      </c>
      <c r="R41" s="62" t="s">
        <v>19</v>
      </c>
      <c r="S41" s="96" t="s">
        <v>32</v>
      </c>
      <c r="T41" s="85"/>
      <c r="U41" s="62" t="s">
        <v>13</v>
      </c>
      <c r="V41" s="62" t="s">
        <v>14</v>
      </c>
      <c r="W41" s="62" t="s">
        <v>15</v>
      </c>
      <c r="X41" s="62" t="s">
        <v>16</v>
      </c>
      <c r="Y41" s="62" t="s">
        <v>17</v>
      </c>
      <c r="Z41" s="62" t="s">
        <v>18</v>
      </c>
      <c r="AA41" s="62" t="s">
        <v>19</v>
      </c>
      <c r="AB41" s="96" t="s">
        <v>32</v>
      </c>
      <c r="AC41" s="85"/>
      <c r="AD41" s="62" t="s">
        <v>13</v>
      </c>
      <c r="AE41" s="62" t="s">
        <v>14</v>
      </c>
      <c r="AF41" s="62" t="s">
        <v>15</v>
      </c>
      <c r="AG41" s="62" t="s">
        <v>16</v>
      </c>
      <c r="AH41" s="62" t="s">
        <v>17</v>
      </c>
      <c r="AI41" s="62" t="s">
        <v>18</v>
      </c>
      <c r="AJ41" s="62" t="s">
        <v>19</v>
      </c>
      <c r="AK41" s="96" t="s">
        <v>32</v>
      </c>
      <c r="AL41" s="85"/>
      <c r="AM41" s="62" t="s">
        <v>13</v>
      </c>
      <c r="AN41" s="62" t="s">
        <v>14</v>
      </c>
      <c r="AO41" s="62" t="s">
        <v>15</v>
      </c>
      <c r="AP41" s="62" t="s">
        <v>16</v>
      </c>
      <c r="AQ41" s="62" t="s">
        <v>17</v>
      </c>
      <c r="AR41" s="62" t="s">
        <v>18</v>
      </c>
      <c r="AS41" s="62" t="s">
        <v>19</v>
      </c>
      <c r="AT41" s="96" t="s">
        <v>32</v>
      </c>
      <c r="AU41" s="85" t="s">
        <v>79</v>
      </c>
      <c r="AV41" s="62" t="s">
        <v>13</v>
      </c>
      <c r="AW41" s="62" t="s">
        <v>14</v>
      </c>
      <c r="AX41" s="96" t="s">
        <v>32</v>
      </c>
      <c r="AY41" s="96" t="s">
        <v>35</v>
      </c>
      <c r="AZ41" s="97">
        <f>AY48+AY49+AY50</f>
        <v>0</v>
      </c>
      <c r="BA41" s="97">
        <f>AZ41+BA23</f>
        <v>10</v>
      </c>
      <c r="BB41" s="46"/>
      <c r="BC41" s="46"/>
      <c r="BD41" s="46"/>
      <c r="BE41" s="46"/>
      <c r="BF41" s="35"/>
    </row>
    <row r="42" spans="1:59" s="7" customFormat="1" ht="15" customHeight="1" x14ac:dyDescent="0.25">
      <c r="A42" s="48"/>
      <c r="B42" s="83"/>
      <c r="C42" s="67" t="str">
        <f>IF(DAY(Mar_Dim1)=1,"",IF(AND(YEAR(Mar_Dim1+1)=Année_Calendaire,MONTH(Mar_Dim1+1)=3),Mar_Dim1+1,""))</f>
        <v/>
      </c>
      <c r="D42" s="67">
        <f>IF(DAY(Mar_Dim1)=1,"",IF(AND(YEAR(Mar_Dim1+2)=Année_Calendaire,MONTH(Mar_Dim1+2)=3),Mar_Dim1+2,""))</f>
        <v>42430</v>
      </c>
      <c r="E42" s="67">
        <f>IF(DAY(Mar_Dim1)=1,"",IF(AND(YEAR(Mar_Dim1+3)=Année_Calendaire,MONTH(Mar_Dim1+3)=3),Mar_Dim1+3,""))</f>
        <v>42431</v>
      </c>
      <c r="F42" s="67">
        <f>IF(DAY(Mar_Dim1)=1,"",IF(AND(YEAR(Mar_Dim1+4)=Année_Calendaire,MONTH(Mar_Dim1+4)=3),Mar_Dim1+4,""))</f>
        <v>42432</v>
      </c>
      <c r="G42" s="67">
        <f>IF(DAY(Mar_Dim1)=1,"",IF(AND(YEAR(Mar_Dim1+5)=Année_Calendaire,MONTH(Mar_Dim1+5)=3),Mar_Dim1+5,""))</f>
        <v>42433</v>
      </c>
      <c r="H42" s="67">
        <f>IF(DAY(Mar_Dim1)=1,"",IF(AND(YEAR(Mar_Dim1+6)=Année_Calendaire,MONTH(Mar_Dim1+6)=3),Mar_Dim1+6,""))</f>
        <v>42434</v>
      </c>
      <c r="I42" s="67">
        <f>IF(DAY(Mar_Dim1)=1,IF(AND(YEAR(Mar_Dim1)=Année_Calendaire,MONTH(Mar_Dim1)=3),Mar_Dim1,""),IF(AND(YEAR(Mar_Dim1+7)=Année_Calendaire,MONTH(Mar_Dim1+7)=3),Mar_Dim1+7,""))</f>
        <v>42435</v>
      </c>
      <c r="J42" s="96"/>
      <c r="K42" s="78"/>
      <c r="L42" s="67">
        <f>IF(DAY(Mar_Dim1)=1,IF(AND(YEAR(Mar_Dim1+1)=Année_Calendaire,MONTH(Mar_Dim1+1)=3),Mar_Dim1+1,""),IF(AND(YEAR(Mar_Dim1+8)=Année_Calendaire,MONTH(Mar_Dim1+8)=3),Mar_Dim1+8,""))</f>
        <v>42436</v>
      </c>
      <c r="M42" s="67">
        <f>IF(DAY(Mar_Dim1)=1,IF(AND(YEAR(Mar_Dim1+2)=Année_Calendaire,MONTH(Mar_Dim1+2)=3),Mar_Dim1+2,""),IF(AND(YEAR(Mar_Dim1+9)=Année_Calendaire,MONTH(Mar_Dim1+9)=3),Mar_Dim1+9,""))</f>
        <v>42437</v>
      </c>
      <c r="N42" s="67">
        <f>IF(DAY(Mar_Dim1)=1,IF(AND(YEAR(Mar_Dim1+3)=Année_Calendaire,MONTH(Mar_Dim1+3)=3),Mar_Dim1+3,""),IF(AND(YEAR(Mar_Dim1+10)=Année_Calendaire,MONTH(Mar_Dim1+10)=3),Mar_Dim1+10,""))</f>
        <v>42438</v>
      </c>
      <c r="O42" s="67">
        <f>IF(DAY(Mar_Dim1)=1,IF(AND(YEAR(Mar_Dim1+4)=Année_Calendaire,MONTH(Mar_Dim1+4)=3),Mar_Dim1+4,""),IF(AND(YEAR(Mar_Dim1+11)=Année_Calendaire,MONTH(Mar_Dim1+11)=3),Mar_Dim1+11,""))</f>
        <v>42439</v>
      </c>
      <c r="P42" s="67">
        <f>IF(DAY(Mar_Dim1)=1,IF(AND(YEAR(Mar_Dim1+5)=Année_Calendaire,MONTH(Mar_Dim1+5)=3),Mar_Dim1+5,""),IF(AND(YEAR(Mar_Dim1+12)=Année_Calendaire,MONTH(Mar_Dim1+12)=3),Mar_Dim1+12,""))</f>
        <v>42440</v>
      </c>
      <c r="Q42" s="67">
        <f>IF(DAY(Mar_Dim1)=1,IF(AND(YEAR(Mar_Dim1+6)=Année_Calendaire,MONTH(Mar_Dim1+6)=3),Mar_Dim1+6,""),IF(AND(YEAR(Mar_Dim1+13)=Année_Calendaire,MONTH(Mar_Dim1+13)=3),Mar_Dim1+13,""))</f>
        <v>42441</v>
      </c>
      <c r="R42" s="67">
        <f>IF(DAY(Mar_Dim1)=1,IF(AND(YEAR(Mar_Dim1+7)=Année_Calendaire,MONTH(Mar_Dim1+7)=3),Mar_Dim1+7,""),IF(AND(YEAR(Mar_Dim1+14)=Année_Calendaire,MONTH(Mar_Dim1+14)=3),Mar_Dim1+14,""))</f>
        <v>42442</v>
      </c>
      <c r="S42" s="96"/>
      <c r="T42" s="78"/>
      <c r="U42" s="67">
        <f>IF(DAY(Mar_Dim1)=1,IF(AND(YEAR(Mar_Dim1+8)=Année_Calendaire,MONTH(Mar_Dim1+8)=3),Mar_Dim1+8,""),IF(AND(YEAR(Mar_Dim1+15)=Année_Calendaire,MONTH(Mar_Dim1+15)=3),Mar_Dim1+15,""))</f>
        <v>42443</v>
      </c>
      <c r="V42" s="67">
        <f>IF(DAY(Mar_Dim1)=1,IF(AND(YEAR(Mar_Dim1+9)=Année_Calendaire,MONTH(Mar_Dim1+9)=3),Mar_Dim1+9,""),IF(AND(YEAR(Mar_Dim1+16)=Année_Calendaire,MONTH(Mar_Dim1+16)=3),Mar_Dim1+16,""))</f>
        <v>42444</v>
      </c>
      <c r="W42" s="67">
        <f>IF(DAY(Mar_Dim1)=1,IF(AND(YEAR(Mar_Dim1+10)=Année_Calendaire,MONTH(Mar_Dim1+10)=3),Mar_Dim1+10,""),IF(AND(YEAR(Mar_Dim1+17)=Année_Calendaire,MONTH(Mar_Dim1+17)=3),Mar_Dim1+17,""))</f>
        <v>42445</v>
      </c>
      <c r="X42" s="67">
        <f>IF(DAY(Mar_Dim1)=1,IF(AND(YEAR(Mar_Dim1+11)=Année_Calendaire,MONTH(Mar_Dim1+11)=3),Mar_Dim1+11,""),IF(AND(YEAR(Mar_Dim1+18)=Année_Calendaire,MONTH(Mar_Dim1+18)=3),Mar_Dim1+18,""))</f>
        <v>42446</v>
      </c>
      <c r="Y42" s="67">
        <f>IF(DAY(Mar_Dim1)=1,IF(AND(YEAR(Mar_Dim1+12)=Année_Calendaire,MONTH(Mar_Dim1+12)=3),Mar_Dim1+12,""),IF(AND(YEAR(Mar_Dim1+19)=Année_Calendaire,MONTH(Mar_Dim1+19)=3),Mar_Dim1+19,""))</f>
        <v>42447</v>
      </c>
      <c r="Z42" s="67">
        <f>IF(DAY(Mar_Dim1)=1,IF(AND(YEAR(Mar_Dim1+13)=Année_Calendaire,MONTH(Mar_Dim1+13)=3),Mar_Dim1+13,""),IF(AND(YEAR(Mar_Dim1+20)=Année_Calendaire,MONTH(Mar_Dim1+20)=3),Mar_Dim1+20,""))</f>
        <v>42448</v>
      </c>
      <c r="AA42" s="67">
        <f>IF(DAY(Mar_Dim1)=1,IF(AND(YEAR(Mar_Dim1+14)=Année_Calendaire,MONTH(Mar_Dim1+14)=3),Mar_Dim1+14,""),IF(AND(YEAR(Mar_Dim1+21)=Année_Calendaire,MONTH(Mar_Dim1+21)=3),Mar_Dim1+21,""))</f>
        <v>42449</v>
      </c>
      <c r="AB42" s="96"/>
      <c r="AC42" s="78"/>
      <c r="AD42" s="67">
        <f>IF(DAY(Mar_Dim1)=1,IF(AND(YEAR(Mar_Dim1+15)=Année_Calendaire,MONTH(Mar_Dim1+15)=3),Mar_Dim1+15,""),IF(AND(YEAR(Mar_Dim1+22)=Année_Calendaire,MONTH(Mar_Dim1+22)=3),Mar_Dim1+22,""))</f>
        <v>42450</v>
      </c>
      <c r="AE42" s="67">
        <f>IF(DAY(Mar_Dim1)=1,IF(AND(YEAR(Mar_Dim1+16)=Année_Calendaire,MONTH(Mar_Dim1+16)=3),Mar_Dim1+16,""),IF(AND(YEAR(Mar_Dim1+23)=Année_Calendaire,MONTH(Mar_Dim1+23)=3),Mar_Dim1+23,""))</f>
        <v>42451</v>
      </c>
      <c r="AF42" s="67">
        <f>IF(DAY(Mar_Dim1)=1,IF(AND(YEAR(Mar_Dim1+17)=Année_Calendaire,MONTH(Mar_Dim1+17)=3),Mar_Dim1+17,""),IF(AND(YEAR(Mar_Dim1+24)=Année_Calendaire,MONTH(Mar_Dim1+24)=3),Mar_Dim1+24,""))</f>
        <v>42452</v>
      </c>
      <c r="AG42" s="67">
        <f>IF(DAY(Mar_Dim1)=1,IF(AND(YEAR(Mar_Dim1+18)=Année_Calendaire,MONTH(Mar_Dim1+18)=3),Mar_Dim1+18,""),IF(AND(YEAR(Mar_Dim1+25)=Année_Calendaire,MONTH(Mar_Dim1+25)=3),Mar_Dim1+25,""))</f>
        <v>42453</v>
      </c>
      <c r="AH42" s="67">
        <f>IF(DAY(Mar_Dim1)=1,IF(AND(YEAR(Mar_Dim1+19)=Année_Calendaire,MONTH(Mar_Dim1+19)=3),Mar_Dim1+19,""),IF(AND(YEAR(Mar_Dim1+26)=Année_Calendaire,MONTH(Mar_Dim1+26)=3),Mar_Dim1+26,""))</f>
        <v>42454</v>
      </c>
      <c r="AI42" s="67">
        <f>IF(DAY(Mar_Dim1)=1,IF(AND(YEAR(Mar_Dim1+20)=Année_Calendaire,MONTH(Mar_Dim1+20)=3),Mar_Dim1+20,""),IF(AND(YEAR(Mar_Dim1+27)=Année_Calendaire,MONTH(Mar_Dim1+27)=3),Mar_Dim1+27,""))</f>
        <v>42455</v>
      </c>
      <c r="AJ42" s="67">
        <f>IF(DAY(Mar_Dim1)=1,IF(AND(YEAR(Mar_Dim1+21)=Année_Calendaire,MONTH(Mar_Dim1+21)=3),Mar_Dim1+21,""),IF(AND(YEAR(Mar_Dim1+28)=Année_Calendaire,MONTH(Mar_Dim1+28)=3),Mar_Dim1+28,""))</f>
        <v>42456</v>
      </c>
      <c r="AK42" s="96"/>
      <c r="AL42" s="78"/>
      <c r="AM42" s="67">
        <f>IF(DAY(Mar_Dim1)=1,IF(AND(YEAR(Mar_Dim1+22)=Année_Calendaire,MONTH(Mar_Dim1+22)=3),Mar_Dim1+22,""),IF(AND(YEAR(Mar_Dim1+29)=Année_Calendaire,MONTH(Mar_Dim1+29)=3),Mar_Dim1+29,""))</f>
        <v>42457</v>
      </c>
      <c r="AN42" s="67">
        <f>IF(DAY(Mar_Dim1)=1,IF(AND(YEAR(Mar_Dim1+23)=Année_Calendaire,MONTH(Mar_Dim1+23)=3),Mar_Dim1+23,""),IF(AND(YEAR(Mar_Dim1+30)=Année_Calendaire,MONTH(Mar_Dim1+30)=3),Mar_Dim1+30,""))</f>
        <v>42458</v>
      </c>
      <c r="AO42" s="67">
        <f>IF(DAY(Mar_Dim1)=1,IF(AND(YEAR(Mar_Dim1+24)=Année_Calendaire,MONTH(Mar_Dim1+24)=3),Mar_Dim1+24,""),IF(AND(YEAR(Mar_Dim1+31)=Année_Calendaire,MONTH(Mar_Dim1+31)=3),Mar_Dim1+31,""))</f>
        <v>42459</v>
      </c>
      <c r="AP42" s="67">
        <f>IF(DAY(Mar_Dim1)=1,IF(AND(YEAR(Mar_Dim1+25)=Année_Calendaire,MONTH(Mar_Dim1+25)=3),Mar_Dim1+25,""),IF(AND(YEAR(Mar_Dim1+32)=Année_Calendaire,MONTH(Mar_Dim1+32)=3),Mar_Dim1+32,""))</f>
        <v>42460</v>
      </c>
      <c r="AQ42" s="67" t="str">
        <f>IF(DAY(Mar_Dim1)=1,IF(AND(YEAR(Mar_Dim1+26)=Année_Calendaire,MONTH(Mar_Dim1+26)=3),Mar_Dim1+26,""),IF(AND(YEAR(Mar_Dim1+33)=Année_Calendaire,MONTH(Mar_Dim1+33)=3),Mar_Dim1+33,""))</f>
        <v/>
      </c>
      <c r="AR42" s="67" t="str">
        <f>IF(DAY(Mar_Dim1)=1,IF(AND(YEAR(Mar_Dim1+27)=Année_Calendaire,MONTH(Mar_Dim1+27)=3),Mar_Dim1+27,""),IF(AND(YEAR(Mar_Dim1+34)=Année_Calendaire,MONTH(Mar_Dim1+34)=3),Mar_Dim1+34,""))</f>
        <v/>
      </c>
      <c r="AS42" s="67" t="str">
        <f>IF(DAY(Mar_Dim1)=1,IF(AND(YEAR(Mar_Dim1+28)=Année_Calendaire,MONTH(Mar_Dim1+28)=3),Mar_Dim1+28,""),IF(AND(YEAR(Mar_Dim1+35)=Année_Calendaire,MONTH(Mar_Dim1+35)=3),Mar_Dim1+35,""))</f>
        <v/>
      </c>
      <c r="AT42" s="96"/>
      <c r="AU42" s="78"/>
      <c r="AV42" s="61" t="str">
        <f>IF(DAY(Mar_Dim1)=1,IF(AND(YEAR(Mar_Dim1+29)=Année_Calendaire,MONTH(Mar_Dim1+29)=3),Mar_Dim1+29,""),IF(AND(YEAR(Mar_Dim1+36)=Année_Calendaire,MONTH(Mar_Dim1+36)=3),Mar_Dim1+36,""))</f>
        <v/>
      </c>
      <c r="AW42" s="61" t="str">
        <f>IF(DAY(Mar_Dim1)=1,IF(AND(YEAR(Mar_Dim1+30)=Année_Calendaire,MONTH(Mar_Dim1+30)=3),Mar_Dim1+30,""),IF(AND(YEAR(Mar_Dim1+37)=Année_Calendaire,MONTH(Mar_Dim1+37)=3),Mar_Dim1+37,""))</f>
        <v/>
      </c>
      <c r="AX42" s="96"/>
      <c r="AY42" s="96"/>
      <c r="AZ42" s="97"/>
      <c r="BA42" s="97"/>
      <c r="BB42" s="46"/>
      <c r="BC42" s="46"/>
      <c r="BD42" s="46"/>
      <c r="BE42" s="46"/>
      <c r="BF42" s="35"/>
    </row>
    <row r="43" spans="1:59" s="8" customFormat="1" ht="15" customHeight="1" x14ac:dyDescent="0.25">
      <c r="A43" s="21" t="s">
        <v>2</v>
      </c>
      <c r="B43" s="81"/>
      <c r="C43" s="60">
        <f>IFERROR(VLOOKUP(B41,DATA!$A:$H,2,TRUE),0)</f>
        <v>0</v>
      </c>
      <c r="D43" s="60">
        <f>IFERROR(VLOOKUP(B41,DATA!$A:$H,3,TRUE),0)</f>
        <v>0</v>
      </c>
      <c r="E43" s="60">
        <f>IFERROR(VLOOKUP(B41,DATA!$A:$H,4,TRUE),0)</f>
        <v>0</v>
      </c>
      <c r="F43" s="60">
        <f>IFERROR(VLOOKUP(B41,DATA!$A:$H,5,TRUE),0)</f>
        <v>0</v>
      </c>
      <c r="G43" s="60">
        <f>IFERROR(VLOOKUP(B41,DATA!$A:$H,6,TRUE),0)</f>
        <v>0</v>
      </c>
      <c r="H43" s="60">
        <f>IFERROR(VLOOKUP(B41,DATA!$A:$H,7,TRUE),0)</f>
        <v>0</v>
      </c>
      <c r="I43" s="60">
        <f>IFERROR(VLOOKUP(B41,DATA!$A:$H,8,TRUE),0)</f>
        <v>0</v>
      </c>
      <c r="J43" s="60"/>
      <c r="K43" s="60"/>
      <c r="L43" s="60">
        <f>IFERROR(VLOOKUP(K41,DATA!$A:$H,2,TRUE),0)</f>
        <v>0</v>
      </c>
      <c r="M43" s="60">
        <f>IFERROR(VLOOKUP(K41,DATA!$A:$H,3,TRUE),0)</f>
        <v>0</v>
      </c>
      <c r="N43" s="60">
        <f>IFERROR(VLOOKUP(K41,DATA!$A:$H,4,TRUE),0)</f>
        <v>0</v>
      </c>
      <c r="O43" s="60">
        <f>IFERROR(VLOOKUP(K41,DATA!$A:$H,5,TRUE),0)</f>
        <v>0</v>
      </c>
      <c r="P43" s="60">
        <f>IFERROR(VLOOKUP(K41,DATA!$A:$H,6,TRUE),0)</f>
        <v>0</v>
      </c>
      <c r="Q43" s="60">
        <f>IFERROR(VLOOKUP(K41,DATA!$A:$H,7,TRUE),0)</f>
        <v>0</v>
      </c>
      <c r="R43" s="60">
        <f>IFERROR(VLOOKUP(K41,DATA!$A:$H,8,TRUE),0)</f>
        <v>0</v>
      </c>
      <c r="S43" s="60"/>
      <c r="T43" s="60"/>
      <c r="U43" s="60">
        <f>IFERROR(VLOOKUP(T41,DATA!$A:$H,2,TRUE),0)</f>
        <v>0</v>
      </c>
      <c r="V43" s="60">
        <f>IFERROR(VLOOKUP(T41,DATA!$A:$H,3,TRUE),0)</f>
        <v>0</v>
      </c>
      <c r="W43" s="60">
        <f>IFERROR(VLOOKUP(T41,DATA!$A:$H,4,TRUE),0)</f>
        <v>0</v>
      </c>
      <c r="X43" s="60">
        <f>IFERROR(VLOOKUP(T41,DATA!$A:$H,5,TRUE),0)</f>
        <v>0</v>
      </c>
      <c r="Y43" s="60">
        <f>IFERROR(VLOOKUP(T41,DATA!$A:$H,6,TRUE),0)</f>
        <v>0</v>
      </c>
      <c r="Z43" s="60">
        <f>IFERROR(VLOOKUP(T41,DATA!$A:$H,7,TRUE),0)</f>
        <v>0</v>
      </c>
      <c r="AA43" s="60">
        <f>IFERROR(VLOOKUP(T41,DATA!$A:$H,8,TRUE),0)</f>
        <v>0</v>
      </c>
      <c r="AB43" s="60"/>
      <c r="AC43" s="60"/>
      <c r="AD43" s="60">
        <f>IFERROR(VLOOKUP(AC41,DATA!$A:$H,2,TRUE),0)</f>
        <v>0</v>
      </c>
      <c r="AE43" s="60">
        <f>IFERROR(VLOOKUP(AC41,DATA!$A:$H,3,TRUE),0)</f>
        <v>0</v>
      </c>
      <c r="AF43" s="60">
        <f>IFERROR(VLOOKUP(AC41,DATA!$A:$H,4,TRUE),0)</f>
        <v>0</v>
      </c>
      <c r="AG43" s="60">
        <f>IFERROR(VLOOKUP(AC41,DATA!$A:$H,5,TRUE),0)</f>
        <v>0</v>
      </c>
      <c r="AH43" s="60">
        <f>IFERROR(VLOOKUP(AC41,DATA!$A:$H,6,TRUE),0)</f>
        <v>0</v>
      </c>
      <c r="AI43" s="60">
        <f>IFERROR(VLOOKUP(AC41,DATA!$A:$H,7,TRUE),0)</f>
        <v>0</v>
      </c>
      <c r="AJ43" s="60">
        <f>IFERROR(VLOOKUP(AC41,DATA!$A:$H,8,TRUE),0)</f>
        <v>0</v>
      </c>
      <c r="AK43" s="60"/>
      <c r="AL43" s="60"/>
      <c r="AM43" s="60">
        <f>IFERROR(VLOOKUP(AL41,DATA!$A:$H,2,TRUE),0)</f>
        <v>0</v>
      </c>
      <c r="AN43" s="60">
        <f>IFERROR(VLOOKUP(AL41,DATA!$A:$H,3,TRUE),0)</f>
        <v>0</v>
      </c>
      <c r="AO43" s="60">
        <f>IFERROR(VLOOKUP(AL41,DATA!$A:$H,4,TRUE),0)</f>
        <v>0</v>
      </c>
      <c r="AP43" s="60">
        <f>IFERROR(VLOOKUP(AL41,DATA!$A:$H,5,TRUE),0)</f>
        <v>0</v>
      </c>
      <c r="AQ43" s="60">
        <f>IFERROR(VLOOKUP(AL41,DATA!$A:$H,6,TRUE),0)</f>
        <v>0</v>
      </c>
      <c r="AR43" s="60">
        <f>IFERROR(VLOOKUP(AL41,DATA!$A:$H,7,TRUE),0)</f>
        <v>0</v>
      </c>
      <c r="AS43" s="60">
        <f>IFERROR(VLOOKUP(AL41,DATA!$A:$H,8,TRUE),0)</f>
        <v>0</v>
      </c>
      <c r="AT43" s="60"/>
      <c r="AU43" s="60"/>
      <c r="AV43" s="60" t="str">
        <f>IFERROR(VLOOKUP(AU41,DATA!$A:$H,2,TRUE),0)</f>
        <v>matin</v>
      </c>
      <c r="AW43" s="60">
        <f>IFERROR(VLOOKUP(AU41,DATA!$A:$H,3,TRUE),0)</f>
        <v>0</v>
      </c>
      <c r="AX43" s="60"/>
      <c r="AY43" s="63"/>
      <c r="AZ43" s="52"/>
      <c r="BA43" s="52"/>
      <c r="BB43" s="52"/>
      <c r="BC43" s="52"/>
      <c r="BD43" s="52"/>
      <c r="BE43" s="52"/>
      <c r="BF43" s="35"/>
    </row>
    <row r="44" spans="1:59" s="33" customFormat="1" ht="15" customHeight="1" x14ac:dyDescent="0.25">
      <c r="A44" s="21" t="s">
        <v>12</v>
      </c>
      <c r="B44" s="81"/>
      <c r="C44" s="60">
        <f t="shared" ref="C44:I44" si="122">IF(C43="Matin",1,IF(C43="AM",1,0))</f>
        <v>0</v>
      </c>
      <c r="D44" s="60">
        <f t="shared" si="122"/>
        <v>0</v>
      </c>
      <c r="E44" s="60">
        <f t="shared" si="122"/>
        <v>0</v>
      </c>
      <c r="F44" s="60">
        <f t="shared" si="122"/>
        <v>0</v>
      </c>
      <c r="G44" s="60">
        <f t="shared" si="122"/>
        <v>0</v>
      </c>
      <c r="H44" s="60">
        <f t="shared" si="122"/>
        <v>0</v>
      </c>
      <c r="I44" s="60">
        <f t="shared" si="122"/>
        <v>0</v>
      </c>
      <c r="J44" s="60">
        <f>SUM(C44:I44)</f>
        <v>0</v>
      </c>
      <c r="K44" s="60"/>
      <c r="L44" s="60">
        <f t="shared" ref="L44:R44" si="123">IF(L43="Matin",1,IF(L43="AM",1,0))</f>
        <v>0</v>
      </c>
      <c r="M44" s="60">
        <f t="shared" si="123"/>
        <v>0</v>
      </c>
      <c r="N44" s="60">
        <f t="shared" si="123"/>
        <v>0</v>
      </c>
      <c r="O44" s="60">
        <f t="shared" si="123"/>
        <v>0</v>
      </c>
      <c r="P44" s="60">
        <f t="shared" si="123"/>
        <v>0</v>
      </c>
      <c r="Q44" s="60">
        <f t="shared" si="123"/>
        <v>0</v>
      </c>
      <c r="R44" s="60">
        <f t="shared" si="123"/>
        <v>0</v>
      </c>
      <c r="S44" s="60">
        <f>SUM(L44:R44)</f>
        <v>0</v>
      </c>
      <c r="T44" s="60"/>
      <c r="U44" s="60">
        <f t="shared" ref="U44:AA44" si="124">IF(U43="Matin",1,IF(U43="AM",1,0))</f>
        <v>0</v>
      </c>
      <c r="V44" s="60">
        <f t="shared" si="124"/>
        <v>0</v>
      </c>
      <c r="W44" s="60">
        <f t="shared" si="124"/>
        <v>0</v>
      </c>
      <c r="X44" s="60">
        <f t="shared" si="124"/>
        <v>0</v>
      </c>
      <c r="Y44" s="60">
        <f t="shared" si="124"/>
        <v>0</v>
      </c>
      <c r="Z44" s="60">
        <f t="shared" si="124"/>
        <v>0</v>
      </c>
      <c r="AA44" s="60">
        <f t="shared" si="124"/>
        <v>0</v>
      </c>
      <c r="AB44" s="60">
        <f>SUM(U44:AA44)</f>
        <v>0</v>
      </c>
      <c r="AC44" s="60"/>
      <c r="AD44" s="60">
        <f t="shared" ref="AD44:AJ44" si="125">IF(AD43="Matin",1,IF(AD43="AM",1,0))</f>
        <v>0</v>
      </c>
      <c r="AE44" s="60">
        <f t="shared" si="125"/>
        <v>0</v>
      </c>
      <c r="AF44" s="60">
        <f t="shared" si="125"/>
        <v>0</v>
      </c>
      <c r="AG44" s="60">
        <f t="shared" si="125"/>
        <v>0</v>
      </c>
      <c r="AH44" s="60">
        <f t="shared" si="125"/>
        <v>0</v>
      </c>
      <c r="AI44" s="60">
        <f t="shared" si="125"/>
        <v>0</v>
      </c>
      <c r="AJ44" s="60">
        <f t="shared" si="125"/>
        <v>0</v>
      </c>
      <c r="AK44" s="60">
        <f>SUM(AD44:AJ44)</f>
        <v>0</v>
      </c>
      <c r="AL44" s="60"/>
      <c r="AM44" s="60">
        <f t="shared" ref="AM44:AS44" si="126">IF(AM43="Matin",1,IF(AM43="AM",1,0))</f>
        <v>0</v>
      </c>
      <c r="AN44" s="60">
        <f t="shared" si="126"/>
        <v>0</v>
      </c>
      <c r="AO44" s="60">
        <f t="shared" si="126"/>
        <v>0</v>
      </c>
      <c r="AP44" s="60">
        <f t="shared" si="126"/>
        <v>0</v>
      </c>
      <c r="AQ44" s="60">
        <f t="shared" si="126"/>
        <v>0</v>
      </c>
      <c r="AR44" s="60">
        <f t="shared" si="126"/>
        <v>0</v>
      </c>
      <c r="AS44" s="60">
        <f t="shared" si="126"/>
        <v>0</v>
      </c>
      <c r="AT44" s="60">
        <f>SUM(AM44:AS44)</f>
        <v>0</v>
      </c>
      <c r="AU44" s="60"/>
      <c r="AV44" s="60">
        <f t="shared" ref="AV44:AW44" si="127">IF(AV43="Matin",1,IF(AV43="AM",1,0))</f>
        <v>1</v>
      </c>
      <c r="AW44" s="60">
        <f t="shared" si="127"/>
        <v>0</v>
      </c>
      <c r="AX44" s="60">
        <f t="shared" ref="AX44:AX51" si="128">SUM(AV44:AW44)</f>
        <v>1</v>
      </c>
      <c r="AY44" s="60">
        <f>J44+S44+AB44+AK44+AT44+AX44</f>
        <v>1</v>
      </c>
      <c r="AZ44" s="31"/>
      <c r="BA44" s="31"/>
      <c r="BB44" s="31"/>
      <c r="BC44" s="31"/>
      <c r="BD44" s="31"/>
      <c r="BE44" s="31"/>
      <c r="BF44" s="31"/>
      <c r="BG44" s="34"/>
    </row>
    <row r="45" spans="1:59" s="33" customFormat="1" ht="15" customHeight="1" x14ac:dyDescent="0.25">
      <c r="A45" s="21" t="s">
        <v>4</v>
      </c>
      <c r="B45" s="81"/>
      <c r="C45" s="60">
        <f>IF(C46&gt;=1,1,0)</f>
        <v>0</v>
      </c>
      <c r="D45" s="60">
        <f>IF(D46&gt;=1,1,0)</f>
        <v>0</v>
      </c>
      <c r="E45" s="60">
        <f t="shared" ref="E45:I45" si="129">IF(E46&gt;=1,1,0)</f>
        <v>0</v>
      </c>
      <c r="F45" s="60">
        <f t="shared" si="129"/>
        <v>0</v>
      </c>
      <c r="G45" s="60">
        <f t="shared" si="129"/>
        <v>0</v>
      </c>
      <c r="H45" s="60">
        <f t="shared" si="129"/>
        <v>0</v>
      </c>
      <c r="I45" s="60">
        <f t="shared" si="129"/>
        <v>0</v>
      </c>
      <c r="J45" s="60">
        <f t="shared" ref="J45:J55" si="130">SUM(C45:I45)</f>
        <v>0</v>
      </c>
      <c r="K45" s="60"/>
      <c r="L45" s="60">
        <f>IF(L46&gt;=1,1,0)</f>
        <v>0</v>
      </c>
      <c r="M45" s="60">
        <f t="shared" ref="M45:R45" si="131">IF(M46&gt;=1,1,0)</f>
        <v>0</v>
      </c>
      <c r="N45" s="60">
        <f t="shared" si="131"/>
        <v>0</v>
      </c>
      <c r="O45" s="60">
        <f t="shared" si="131"/>
        <v>0</v>
      </c>
      <c r="P45" s="60">
        <f t="shared" si="131"/>
        <v>0</v>
      </c>
      <c r="Q45" s="60">
        <f t="shared" si="131"/>
        <v>0</v>
      </c>
      <c r="R45" s="60">
        <f t="shared" si="131"/>
        <v>0</v>
      </c>
      <c r="S45" s="60">
        <f t="shared" ref="S45:S55" si="132">SUM(L45:R45)</f>
        <v>0</v>
      </c>
      <c r="T45" s="60"/>
      <c r="U45" s="60">
        <f>IF(U46&gt;=1,1,0)</f>
        <v>0</v>
      </c>
      <c r="V45" s="60">
        <f t="shared" ref="V45:AA45" si="133">IF(V46&gt;=1,1,0)</f>
        <v>0</v>
      </c>
      <c r="W45" s="60">
        <f t="shared" si="133"/>
        <v>0</v>
      </c>
      <c r="X45" s="60">
        <f t="shared" si="133"/>
        <v>0</v>
      </c>
      <c r="Y45" s="60">
        <f t="shared" si="133"/>
        <v>0</v>
      </c>
      <c r="Z45" s="60">
        <f t="shared" si="133"/>
        <v>0</v>
      </c>
      <c r="AA45" s="60">
        <f t="shared" si="133"/>
        <v>0</v>
      </c>
      <c r="AB45" s="60">
        <f t="shared" ref="AB45:AB55" si="134">SUM(U45:AA45)</f>
        <v>0</v>
      </c>
      <c r="AC45" s="60"/>
      <c r="AD45" s="60">
        <f>IF(AD46&gt;=1,1,0)</f>
        <v>0</v>
      </c>
      <c r="AE45" s="60">
        <f t="shared" ref="AE45:AJ45" si="135">IF(AE46&gt;=1,1,0)</f>
        <v>0</v>
      </c>
      <c r="AF45" s="60">
        <f t="shared" si="135"/>
        <v>0</v>
      </c>
      <c r="AG45" s="60">
        <f t="shared" si="135"/>
        <v>0</v>
      </c>
      <c r="AH45" s="60">
        <f t="shared" si="135"/>
        <v>0</v>
      </c>
      <c r="AI45" s="60">
        <f t="shared" si="135"/>
        <v>0</v>
      </c>
      <c r="AJ45" s="60">
        <f t="shared" si="135"/>
        <v>0</v>
      </c>
      <c r="AK45" s="60">
        <f t="shared" ref="AK45:AK55" si="136">SUM(AD45:AJ45)</f>
        <v>0</v>
      </c>
      <c r="AL45" s="60"/>
      <c r="AM45" s="60">
        <f>IF(AM46&gt;=1,1,0)</f>
        <v>0</v>
      </c>
      <c r="AN45" s="60">
        <f t="shared" ref="AN45:AS45" si="137">IF(AN46&gt;=1,1,0)</f>
        <v>0</v>
      </c>
      <c r="AO45" s="60">
        <f t="shared" si="137"/>
        <v>0</v>
      </c>
      <c r="AP45" s="60">
        <f t="shared" si="137"/>
        <v>0</v>
      </c>
      <c r="AQ45" s="60">
        <f t="shared" si="137"/>
        <v>0</v>
      </c>
      <c r="AR45" s="60">
        <f t="shared" si="137"/>
        <v>0</v>
      </c>
      <c r="AS45" s="60">
        <f t="shared" si="137"/>
        <v>0</v>
      </c>
      <c r="AT45" s="60">
        <f t="shared" ref="AT45:AT55" si="138">SUM(AM45:AS45)</f>
        <v>0</v>
      </c>
      <c r="AU45" s="60"/>
      <c r="AV45" s="60">
        <f>IF(AV46&gt;=1,1,0)</f>
        <v>1</v>
      </c>
      <c r="AW45" s="60">
        <f t="shared" ref="AW45" si="139">IF(AW46&gt;=1,1,0)</f>
        <v>0</v>
      </c>
      <c r="AX45" s="60">
        <f t="shared" si="128"/>
        <v>1</v>
      </c>
      <c r="AY45" s="60">
        <f t="shared" ref="AY45:AY54" si="140">J45+S45+AB45+AK45+AT45+AX45</f>
        <v>1</v>
      </c>
      <c r="AZ45" s="52"/>
      <c r="BA45" s="52"/>
      <c r="BB45" s="52"/>
      <c r="BC45" s="52"/>
      <c r="BD45" s="52"/>
      <c r="BE45" s="52"/>
      <c r="BF45" s="35"/>
    </row>
    <row r="46" spans="1:59" s="8" customFormat="1" ht="15" customHeight="1" x14ac:dyDescent="0.25">
      <c r="A46" s="21" t="s">
        <v>3</v>
      </c>
      <c r="B46" s="81"/>
      <c r="C46" s="60">
        <f>IF(C43="Matin",8,IF(C43="AM",8,IF(C43="nuit",8,0)))</f>
        <v>0</v>
      </c>
      <c r="D46" s="60">
        <f t="shared" ref="D46:I46" si="141">IF(D43="Matin",8,IF(D43="AM",8,IF(D43="nuit",8,0)))</f>
        <v>0</v>
      </c>
      <c r="E46" s="60">
        <f t="shared" si="141"/>
        <v>0</v>
      </c>
      <c r="F46" s="60">
        <f t="shared" si="141"/>
        <v>0</v>
      </c>
      <c r="G46" s="60">
        <f t="shared" si="141"/>
        <v>0</v>
      </c>
      <c r="H46" s="60">
        <f t="shared" si="141"/>
        <v>0</v>
      </c>
      <c r="I46" s="60">
        <f t="shared" si="141"/>
        <v>0</v>
      </c>
      <c r="J46" s="60">
        <f t="shared" si="130"/>
        <v>0</v>
      </c>
      <c r="K46" s="60"/>
      <c r="L46" s="60">
        <f>IF(L43="Matin",8,IF(L43="AM",8,IF(L43="nuit",8,0)))</f>
        <v>0</v>
      </c>
      <c r="M46" s="60">
        <f t="shared" ref="M46:R46" si="142">IF(M43="Matin",8,IF(M43="AM",8,IF(M43="nuit",8,0)))</f>
        <v>0</v>
      </c>
      <c r="N46" s="60">
        <f t="shared" si="142"/>
        <v>0</v>
      </c>
      <c r="O46" s="60">
        <f t="shared" si="142"/>
        <v>0</v>
      </c>
      <c r="P46" s="60">
        <f t="shared" si="142"/>
        <v>0</v>
      </c>
      <c r="Q46" s="60">
        <f t="shared" si="142"/>
        <v>0</v>
      </c>
      <c r="R46" s="60">
        <f t="shared" si="142"/>
        <v>0</v>
      </c>
      <c r="S46" s="60">
        <f t="shared" si="132"/>
        <v>0</v>
      </c>
      <c r="T46" s="60"/>
      <c r="U46" s="60">
        <f>IF(U43="Matin",8,IF(U43="AM",8,IF(U43="nuit",8,0)))</f>
        <v>0</v>
      </c>
      <c r="V46" s="60">
        <f t="shared" ref="V46:AA46" si="143">IF(V43="Matin",8,IF(V43="AM",8,IF(V43="nuit",8,0)))</f>
        <v>0</v>
      </c>
      <c r="W46" s="60">
        <f t="shared" si="143"/>
        <v>0</v>
      </c>
      <c r="X46" s="60">
        <f t="shared" si="143"/>
        <v>0</v>
      </c>
      <c r="Y46" s="60">
        <f t="shared" si="143"/>
        <v>0</v>
      </c>
      <c r="Z46" s="60">
        <f t="shared" si="143"/>
        <v>0</v>
      </c>
      <c r="AA46" s="60">
        <f t="shared" si="143"/>
        <v>0</v>
      </c>
      <c r="AB46" s="60">
        <f t="shared" si="134"/>
        <v>0</v>
      </c>
      <c r="AC46" s="60"/>
      <c r="AD46" s="60">
        <f>IF(AD43="Matin",8,IF(AD43="AM",8,IF(AD43="nuit",8,0)))</f>
        <v>0</v>
      </c>
      <c r="AE46" s="60">
        <f t="shared" ref="AE46:AJ46" si="144">IF(AE43="Matin",8,IF(AE43="AM",8,IF(AE43="nuit",8,0)))</f>
        <v>0</v>
      </c>
      <c r="AF46" s="60">
        <f t="shared" si="144"/>
        <v>0</v>
      </c>
      <c r="AG46" s="60">
        <f t="shared" si="144"/>
        <v>0</v>
      </c>
      <c r="AH46" s="60">
        <f t="shared" si="144"/>
        <v>0</v>
      </c>
      <c r="AI46" s="60">
        <f t="shared" si="144"/>
        <v>0</v>
      </c>
      <c r="AJ46" s="60">
        <f t="shared" si="144"/>
        <v>0</v>
      </c>
      <c r="AK46" s="60">
        <f t="shared" si="136"/>
        <v>0</v>
      </c>
      <c r="AL46" s="60"/>
      <c r="AM46" s="60">
        <f>IF(AM43="Matin",8,IF(AM43="AM",8,IF(AM43="nuit",8,0)))</f>
        <v>0</v>
      </c>
      <c r="AN46" s="60">
        <f t="shared" ref="AN46:AS46" si="145">IF(AN43="Matin",8,IF(AN43="AM",8,IF(AN43="nuit",8,0)))</f>
        <v>0</v>
      </c>
      <c r="AO46" s="60">
        <f t="shared" si="145"/>
        <v>0</v>
      </c>
      <c r="AP46" s="60">
        <f t="shared" si="145"/>
        <v>0</v>
      </c>
      <c r="AQ46" s="60">
        <f t="shared" si="145"/>
        <v>0</v>
      </c>
      <c r="AR46" s="60">
        <f t="shared" si="145"/>
        <v>0</v>
      </c>
      <c r="AS46" s="60">
        <f t="shared" si="145"/>
        <v>0</v>
      </c>
      <c r="AT46" s="60">
        <f t="shared" si="138"/>
        <v>0</v>
      </c>
      <c r="AU46" s="60"/>
      <c r="AV46" s="60">
        <f>IF(AV43="Matin",8,IF(AV43="AM",8,IF(AV43="nuit",8,0)))</f>
        <v>8</v>
      </c>
      <c r="AW46" s="60">
        <f t="shared" ref="AW46" si="146">IF(AW43="Matin",8,IF(AW43="AM",8,IF(AW43="nuit",8,0)))</f>
        <v>0</v>
      </c>
      <c r="AX46" s="60">
        <f t="shared" si="128"/>
        <v>8</v>
      </c>
      <c r="AY46" s="60">
        <f t="shared" si="140"/>
        <v>8</v>
      </c>
      <c r="AZ46" s="52"/>
      <c r="BA46" s="52"/>
      <c r="BB46" s="52"/>
      <c r="BC46" s="52"/>
      <c r="BD46" s="52"/>
      <c r="BE46" s="52"/>
      <c r="BF46" s="35"/>
    </row>
    <row r="47" spans="1:59" s="8" customFormat="1" ht="15" customHeight="1" x14ac:dyDescent="0.25">
      <c r="A47" s="36" t="s">
        <v>20</v>
      </c>
      <c r="B47" s="82"/>
      <c r="C47" s="66">
        <f>IF(C41&lt;&gt;"Dim",IF(C46&gt;32,MIN(C46,35)-32,0),0)</f>
        <v>0</v>
      </c>
      <c r="D47" s="66">
        <f>IF(D41&lt;&gt;"Dim",IF(SUM($C46:D46)&gt;32,MIN(SUM($C46:D46),35)-32-SUM($C47:C47),0),0)</f>
        <v>0</v>
      </c>
      <c r="E47" s="66">
        <f>IF(E41&lt;&gt;"Dim",IF(SUM($C46:E46)&gt;32,MIN(SUM($C46:E46),35)-32-SUM($C47:D47),0),0)</f>
        <v>0</v>
      </c>
      <c r="F47" s="66">
        <f>IF(F41&lt;&gt;"Dim",IF(SUM($C46:F46)&gt;32,MIN(SUM($C46:F46),35)-32-SUM($C47:E47),0),0)</f>
        <v>0</v>
      </c>
      <c r="G47" s="66">
        <f>IF(G41&lt;&gt;"Dim",IF(SUM($C46:G46)&gt;32,MIN(SUM($C46:G46),35)-32-SUM($C47:F47),0),0)</f>
        <v>0</v>
      </c>
      <c r="H47" s="66">
        <f>IF(H41&lt;&gt;"Dim",IF(SUM($C46:H46)&gt;32,MIN(SUM($C46:H46),35)-32-SUM($C47:G47),0),0)</f>
        <v>0</v>
      </c>
      <c r="I47" s="66">
        <f>IF(I41&lt;&gt;"Dim",IF(SUM($C46:I46)&gt;32,MIN(SUM($C46:I46),35)-32-SUM($C47:H47),0),0)</f>
        <v>0</v>
      </c>
      <c r="J47" s="60">
        <f t="shared" si="130"/>
        <v>0</v>
      </c>
      <c r="K47" s="60"/>
      <c r="L47" s="66">
        <f>IF(L41&lt;&gt;"Dim",IF(L46&gt;32,MIN(L46,35)-32,0),0)</f>
        <v>0</v>
      </c>
      <c r="M47" s="66">
        <f>IF(M41&lt;&gt;"Dim",IF(SUM($L46:M46)&gt;32,MIN(SUM($L46:M46),35)-32-SUM($L47:L47),0),0)</f>
        <v>0</v>
      </c>
      <c r="N47" s="66">
        <f>IF(N41&lt;&gt;"Dim",IF(SUM($L46:N46)&gt;32,MIN(SUM($L46:N46),35)-32-SUM($L47:M47),0),0)</f>
        <v>0</v>
      </c>
      <c r="O47" s="66">
        <f>IF(O41&lt;&gt;"Dim",IF(SUM($L46:O46)&gt;32,MIN(SUM($L46:O46),35)-32-SUM($L47:N47),0),0)</f>
        <v>0</v>
      </c>
      <c r="P47" s="66">
        <f>IF(P41&lt;&gt;"Dim",IF(SUM($L46:P46)&gt;32,MIN(SUM($L46:P46),35)-32-SUM($L47:O47),0),0)</f>
        <v>0</v>
      </c>
      <c r="Q47" s="66">
        <f>IF(Q41&lt;&gt;"Dim",IF(SUM($L46:Q46)&gt;32,MIN(SUM($L46:Q46),35)-32-SUM($L47:P47),0),0)</f>
        <v>0</v>
      </c>
      <c r="R47" s="66">
        <f>IF(R41&lt;&gt;"Dim",IF(SUM($L46:R46)&gt;32,MIN(SUM($L46:R46),35)-32-SUM($L47:Q47),0),0)</f>
        <v>0</v>
      </c>
      <c r="S47" s="60">
        <f t="shared" si="132"/>
        <v>0</v>
      </c>
      <c r="T47" s="60"/>
      <c r="U47" s="66">
        <f>IF(U41&lt;&gt;"Dim",IF(U46&gt;32,MIN(U46,35)-32,0),0)</f>
        <v>0</v>
      </c>
      <c r="V47" s="66">
        <f>IF(V41&lt;&gt;"Dim",IF(SUM($U46:V46)&gt;32,MIN(SUM($U46:V46),35)-32-SUM($U47:U47),0),0)</f>
        <v>0</v>
      </c>
      <c r="W47" s="66">
        <f>IF(W41&lt;&gt;"Dim",IF(SUM($U46:W46)&gt;32,MIN(SUM($U46:W46),35)-32-SUM($U47:V47),0),0)</f>
        <v>0</v>
      </c>
      <c r="X47" s="66">
        <f>IF(X41&lt;&gt;"Dim",IF(SUM($U46:X46)&gt;32,MIN(SUM($U46:X46),35)-32-SUM($U47:W47),0),0)</f>
        <v>0</v>
      </c>
      <c r="Y47" s="66">
        <f>IF(Y41&lt;&gt;"Dim",IF(SUM($U46:Y46)&gt;32,MIN(SUM($U46:Y46),35)-32-SUM($U47:X47),0),0)</f>
        <v>0</v>
      </c>
      <c r="Z47" s="66">
        <f>IF(Z41&lt;&gt;"Dim",IF(SUM($U46:Z46)&gt;32,MIN(SUM($U46:Z46),35)-32-SUM($U47:Y47),0),0)</f>
        <v>0</v>
      </c>
      <c r="AA47" s="66">
        <f>IF(AA41&lt;&gt;"Dim",IF(SUM($U46:AA46)&gt;32,MIN(SUM($U46:AA46),35)-32-SUM($U47:Z47),0),0)</f>
        <v>0</v>
      </c>
      <c r="AB47" s="60">
        <f t="shared" si="134"/>
        <v>0</v>
      </c>
      <c r="AC47" s="60"/>
      <c r="AD47" s="66">
        <f>IF(AD41&lt;&gt;"Dim",IF(AD46&gt;32,MIN(AD46,35)-32,0),0)</f>
        <v>0</v>
      </c>
      <c r="AE47" s="66">
        <f>IF(AE41&lt;&gt;"Dim",IF(SUM($AD46:AE46)&gt;32,MIN(SUM($AD46:AE46),35)-32-SUM($AD47:AD47),0),0)</f>
        <v>0</v>
      </c>
      <c r="AF47" s="66">
        <f>IF(AF41&lt;&gt;"Dim",IF(SUM($AD46:AF46)&gt;32,MIN(SUM($AD46:AF46),35)-32-SUM($AD47:AE47),0),0)</f>
        <v>0</v>
      </c>
      <c r="AG47" s="66">
        <f>IF(AG41&lt;&gt;"Dim",IF(SUM($AD46:AG46)&gt;32,MIN(SUM($AD46:AG46),35)-32-SUM($AD47:AF47),0),0)</f>
        <v>0</v>
      </c>
      <c r="AH47" s="66">
        <f>IF(AH41&lt;&gt;"Dim",IF(SUM($AD46:AH46)&gt;32,MIN(SUM($AD46:AH46),35)-32-SUM($AD47:AG47),0),0)</f>
        <v>0</v>
      </c>
      <c r="AI47" s="66">
        <f>IF(AI41&lt;&gt;"Dim",IF(SUM($AD46:AI46)&gt;32,MIN(SUM($AD46:AI46),35)-32-SUM($AD47:AH47),0),0)</f>
        <v>0</v>
      </c>
      <c r="AJ47" s="66">
        <f>IF(AJ41&lt;&gt;"Dim",IF(SUM($AD46:AJ46)&gt;32,MIN(SUM($AD46:AJ46),35)-32-SUM($AD47:AI47),0),0)</f>
        <v>0</v>
      </c>
      <c r="AK47" s="60">
        <f t="shared" si="136"/>
        <v>0</v>
      </c>
      <c r="AL47" s="60"/>
      <c r="AM47" s="66">
        <f>IF(AM41&lt;&gt;"Dim",IF(AM46&gt;32,MIN(AM46,35)-32,0),0)</f>
        <v>0</v>
      </c>
      <c r="AN47" s="66">
        <f>IF(AN41&lt;&gt;"Dim",IF(SUM($AM46:AN46)&gt;32,MIN(SUM($AM46:AN46),35)-32-SUM($AM47:AM47),0),0)</f>
        <v>0</v>
      </c>
      <c r="AO47" s="66">
        <f>IF(AO41&lt;&gt;"Dim",IF(SUM($AM46:AO46)&gt;32,MIN(SUM($AM46:AO46),35)-32-SUM($AM47:AN47),0),0)</f>
        <v>0</v>
      </c>
      <c r="AP47" s="66">
        <f>IF(AP41&lt;&gt;"Dim",IF(SUM($AM46:AP46)&gt;32,MIN(SUM($AM46:AP46),35)-32-SUM($AM47:AO47),0),0)</f>
        <v>0</v>
      </c>
      <c r="AQ47" s="66">
        <f>IF(AQ41&lt;&gt;"Dim",IF(SUM($AM46:AQ46)&gt;32,MIN(SUM($AM46:AQ46),35)-32-SUM($AM47:AP47),0),0)</f>
        <v>0</v>
      </c>
      <c r="AR47" s="66">
        <f>IF(AR41&lt;&gt;"Dim",IF(SUM($AM46:AR46)&gt;32,MIN(SUM($AM46:AR46),35)-32-SUM($AM47:AQ47),0),0)</f>
        <v>0</v>
      </c>
      <c r="AS47" s="66">
        <f>IF(AS41&lt;&gt;"Dim",IF(SUM($AM46:AS46)&gt;32,MIN(SUM($AM46:AS46),35)-32-SUM($AM47:AR47),0),0)</f>
        <v>0</v>
      </c>
      <c r="AT47" s="60">
        <f t="shared" si="138"/>
        <v>0</v>
      </c>
      <c r="AU47" s="60"/>
      <c r="AV47" s="66">
        <f>IF(AV41&lt;&gt;"Dim",IF(AV46&gt;32,MIN(AV46,35)-32,0),0)</f>
        <v>0</v>
      </c>
      <c r="AW47" s="66">
        <f>IF(AW41&lt;&gt;"Dim",IF(SUM($AV46:AW46)&gt;32,MIN(SUM($AV46:AW46),35)-32-SUM($AV47:AV47),0),0)</f>
        <v>0</v>
      </c>
      <c r="AX47" s="60">
        <f t="shared" si="128"/>
        <v>0</v>
      </c>
      <c r="AY47" s="60">
        <f t="shared" si="140"/>
        <v>0</v>
      </c>
      <c r="AZ47" s="52"/>
      <c r="BA47" s="52"/>
      <c r="BB47" s="52"/>
      <c r="BC47" s="52"/>
      <c r="BD47" s="52"/>
      <c r="BE47" s="52"/>
      <c r="BF47" s="35"/>
    </row>
    <row r="48" spans="1:59" s="8" customFormat="1" ht="15" customHeight="1" x14ac:dyDescent="0.25">
      <c r="A48" s="21" t="s">
        <v>6</v>
      </c>
      <c r="B48" s="81"/>
      <c r="C48" s="66">
        <f>IF(C41&lt;&gt;"Dim",IF(C46&gt;35,(MIN(C46,43)-35),0),0)</f>
        <v>0</v>
      </c>
      <c r="D48" s="66">
        <f>IF(D41&lt;&gt;"Dim",IF(SUM($C46:D46)&gt;35,(MIN(SUM($C46:D46),43)-35-SUM($C48:C48)),0),0)</f>
        <v>0</v>
      </c>
      <c r="E48" s="66">
        <f>IF(E41&lt;&gt;"Dim",IF(SUM($C46:E46)&gt;35,(MIN(SUM($C46:E46),43)-35-SUM($C48:D48)),0),0)</f>
        <v>0</v>
      </c>
      <c r="F48" s="66">
        <f>IF(F41&lt;&gt;"Dim",IF(SUM($C46:F46)&gt;35,(MIN(SUM($C46:F46),43)-35-SUM($C48:E48)),0),0)</f>
        <v>0</v>
      </c>
      <c r="G48" s="66">
        <f>IF(G41&lt;&gt;"Dim",IF(SUM($C46:G46)&gt;35,(MIN(SUM($C46:G46),43)-35-SUM($C48:F48)),0),0)</f>
        <v>0</v>
      </c>
      <c r="H48" s="66">
        <f>IF(H41&lt;&gt;"Dim",IF(SUM($C46:H46)&gt;35,(MIN(SUM($C46:H46),43)-35-SUM($C48:G48)),0),0)</f>
        <v>0</v>
      </c>
      <c r="I48" s="66">
        <f>IF(I41&lt;&gt;"Dim",IF(SUM($C46:I46)&gt;35,(MIN(SUM($C46:I46),43)-35-SUM($C48:H48)),0),0)</f>
        <v>0</v>
      </c>
      <c r="J48" s="60">
        <f t="shared" si="130"/>
        <v>0</v>
      </c>
      <c r="K48" s="60"/>
      <c r="L48" s="66">
        <f>IF(L41&lt;&gt;"Dim",IF(L46&gt;35,(MIN(L46,43)-35),0),0)</f>
        <v>0</v>
      </c>
      <c r="M48" s="66">
        <f>IF(M41&lt;&gt;"Dim",IF(SUM($L46:M46)&gt;35,(MIN(SUM($L46:M46),43)-35-SUM($L48:L48)),0),0)</f>
        <v>0</v>
      </c>
      <c r="N48" s="66">
        <f>IF(N41&lt;&gt;"Dim",IF(SUM($L46:N46)&gt;35,(MIN(SUM($L46:N46),43)-35-SUM($L48:M48)),0),0)</f>
        <v>0</v>
      </c>
      <c r="O48" s="66">
        <f>IF(O41&lt;&gt;"Dim",IF(SUM($L46:O46)&gt;35,(MIN(SUM($L46:O46),43)-35-SUM($L48:N48)),0),0)</f>
        <v>0</v>
      </c>
      <c r="P48" s="66">
        <f>IF(P41&lt;&gt;"Dim",IF(SUM($L46:P46)&gt;35,(MIN(SUM($L46:P46),43)-35-SUM($L48:O48)),0),0)</f>
        <v>0</v>
      </c>
      <c r="Q48" s="66">
        <f>IF(Q41&lt;&gt;"Dim",IF(SUM($L46:Q46)&gt;35,(MIN(SUM($L46:Q46),43)-35-SUM($L48:P48)),0),0)</f>
        <v>0</v>
      </c>
      <c r="R48" s="66">
        <f>IF(R41&lt;&gt;"Dim",IF(SUM($L46:R46)&gt;35,(MIN(SUM($L46:R46),43)-35-SUM($L48:Q48)),0),0)</f>
        <v>0</v>
      </c>
      <c r="S48" s="60">
        <f t="shared" si="132"/>
        <v>0</v>
      </c>
      <c r="T48" s="60"/>
      <c r="U48" s="66">
        <f>IF(U41&lt;&gt;"Dim",IF(U46&gt;35,(MIN(U46,43)-35),0),0)</f>
        <v>0</v>
      </c>
      <c r="V48" s="66">
        <f>IF(V41&lt;&gt;"Dim",IF(SUM($U46:V46)&gt;35,(MIN(SUM($U46:V46),43)-35-SUM($U48:U48)),0),0)</f>
        <v>0</v>
      </c>
      <c r="W48" s="66">
        <f>IF(W41&lt;&gt;"Dim",IF(SUM($U46:W46)&gt;35,(MIN(SUM($U46:W46),43)-35-SUM($U48:V48)),0),0)</f>
        <v>0</v>
      </c>
      <c r="X48" s="66">
        <f>IF(X41&lt;&gt;"Dim",IF(SUM($U46:X46)&gt;35,(MIN(SUM($U46:X46),43)-35-SUM($U48:W48)),0),0)</f>
        <v>0</v>
      </c>
      <c r="Y48" s="66">
        <f>IF(Y41&lt;&gt;"Dim",IF(SUM($U46:Y46)&gt;35,(MIN(SUM($U46:Y46),43)-35-SUM($U48:X48)),0),0)</f>
        <v>0</v>
      </c>
      <c r="Z48" s="66">
        <f>IF(Z41&lt;&gt;"Dim",IF(SUM($U46:Z46)&gt;35,(MIN(SUM($U46:Z46),43)-35-SUM($U48:Y48)),0),0)</f>
        <v>0</v>
      </c>
      <c r="AA48" s="66">
        <f>IF(AA41&lt;&gt;"Dim",IF(SUM($U46:AA46)&gt;35,(MIN(SUM($U46:AA46),43)-35-SUM($U48:Z48)),0),0)</f>
        <v>0</v>
      </c>
      <c r="AB48" s="60">
        <f t="shared" si="134"/>
        <v>0</v>
      </c>
      <c r="AC48" s="60"/>
      <c r="AD48" s="66">
        <f>IF(AD41&lt;&gt;"Dim",IF(AD46&gt;35,(MIN(AD46,43)-35),0),0)</f>
        <v>0</v>
      </c>
      <c r="AE48" s="66">
        <f>IF(AE41&lt;&gt;"Dim",IF(SUM($AD46:AE46)&gt;35,(MIN(SUM($AD46:AE46),43)-35-SUM($AD48:AD48)),0),0)</f>
        <v>0</v>
      </c>
      <c r="AF48" s="66">
        <f>IF(AF41&lt;&gt;"Dim",IF(SUM($AD46:AF46)&gt;35,(MIN(SUM($AD46:AF46),43)-35-SUM($AD48:AE48)),0),0)</f>
        <v>0</v>
      </c>
      <c r="AG48" s="66">
        <f>IF(AG41&lt;&gt;"Dim",IF(SUM($AD46:AG46)&gt;35,(MIN(SUM($AD46:AG46),43)-35-SUM($AD48:AF48)),0),0)</f>
        <v>0</v>
      </c>
      <c r="AH48" s="66">
        <f>IF(AH41&lt;&gt;"Dim",IF(SUM($AD46:AH46)&gt;35,(MIN(SUM($AD46:AH46),43)-35-SUM($AD48:AG48)),0),0)</f>
        <v>0</v>
      </c>
      <c r="AI48" s="66">
        <f>IF(AI41&lt;&gt;"Dim",IF(SUM($AD46:AI46)&gt;35,(MIN(SUM($AD46:AI46),43)-35-SUM($AD48:AH48)),0),0)</f>
        <v>0</v>
      </c>
      <c r="AJ48" s="66">
        <f>IF(AJ41&lt;&gt;"Dim",IF(SUM($AD46:AJ46)&gt;35,(MIN(SUM($AD46:AJ46),43)-35-SUM($AD48:AI48)),0),0)</f>
        <v>0</v>
      </c>
      <c r="AK48" s="60">
        <f t="shared" si="136"/>
        <v>0</v>
      </c>
      <c r="AL48" s="60"/>
      <c r="AM48" s="66">
        <f>IF(AM41&lt;&gt;"Dim",IF(AM46&gt;35,(MIN(AM46,43)-35),0),0)</f>
        <v>0</v>
      </c>
      <c r="AN48" s="66">
        <f>IF(AN41&lt;&gt;"Dim",IF(SUM($AM46:AN46)&gt;35,(MIN(SUM($AM46:AN46),43)-35-SUM($AM48:AM48)),0),0)</f>
        <v>0</v>
      </c>
      <c r="AO48" s="66">
        <f>IF(AO41&lt;&gt;"Dim",IF(SUM($AM46:AO46)&gt;35,(MIN(SUM($AM46:AO46),43)-35-SUM($AM48:AN48)),0),0)</f>
        <v>0</v>
      </c>
      <c r="AP48" s="66">
        <f>IF(AP41&lt;&gt;"Dim",IF(SUM($AM46:AP46)&gt;35,(MIN(SUM($AM46:AP46),43)-35-SUM($AM48:AO48)),0),0)</f>
        <v>0</v>
      </c>
      <c r="AQ48" s="66">
        <f>IF(AQ41&lt;&gt;"Dim",IF(SUM($AM46:AQ46)&gt;35,(MIN(SUM($AM46:AQ46),43)-35-SUM($AM48:AP48)),0),0)</f>
        <v>0</v>
      </c>
      <c r="AR48" s="66">
        <f>IF(AR41&lt;&gt;"Dim",IF(SUM($AM46:AR46)&gt;35,(MIN(SUM($AM46:AR46),43)-35-SUM($AM48:AQ48)),0),0)</f>
        <v>0</v>
      </c>
      <c r="AS48" s="66">
        <f>IF(AS41&lt;&gt;"Dim",IF(SUM($AM46:AS46)&gt;35,(MIN(SUM($AM46:AS46),43)-35-SUM($AM48:AR48)),0),0)</f>
        <v>0</v>
      </c>
      <c r="AT48" s="60">
        <f t="shared" si="138"/>
        <v>0</v>
      </c>
      <c r="AU48" s="60"/>
      <c r="AV48" s="66">
        <f>IF(AV41&lt;&gt;"Dim",IF(AV46&gt;35,(MIN(AV46,43)-35),0),0)</f>
        <v>0</v>
      </c>
      <c r="AW48" s="66">
        <f>IF(AW41&lt;&gt;"Dim",IF(SUM($AV46:AW46)&gt;35,(MIN(SUM($AV46:AW46),43)-35-SUM($AV48:AV48)),0),0)</f>
        <v>0</v>
      </c>
      <c r="AX48" s="60">
        <f t="shared" si="128"/>
        <v>0</v>
      </c>
      <c r="AY48" s="60">
        <f t="shared" si="140"/>
        <v>0</v>
      </c>
      <c r="AZ48" s="52"/>
      <c r="BA48" s="52"/>
      <c r="BB48" s="52"/>
      <c r="BC48" s="52"/>
      <c r="BD48" s="52"/>
      <c r="BE48" s="52"/>
      <c r="BF48" s="35"/>
    </row>
    <row r="49" spans="1:58" s="8" customFormat="1" ht="15" customHeight="1" x14ac:dyDescent="0.25">
      <c r="A49" s="21" t="s">
        <v>5</v>
      </c>
      <c r="B49" s="81"/>
      <c r="C49" s="66">
        <f>IF(C41&lt;&gt;"Dim",IF(C46&gt;43,(MIN(C46,48)-43),0),0)</f>
        <v>0</v>
      </c>
      <c r="D49" s="66">
        <f>IF(D41&lt;&gt;"Dim",IF(SUM($C46:D46)&gt;43,(MIN(SUM($C46:D46),48)-43-SUM($C49:C49)),0),0)</f>
        <v>0</v>
      </c>
      <c r="E49" s="66">
        <f>IF(E41&lt;&gt;"Dim",IF(SUM($C46:E46)&gt;43,(MIN(SUM($C46:E46),48)-43-SUM($C49:D49)),0),0)</f>
        <v>0</v>
      </c>
      <c r="F49" s="66">
        <f>IF(F41&lt;&gt;"Dim",IF(SUM($C46:F46)&gt;43,(MIN(SUM($C46:F46),48)-43-SUM($C49:E49)),0),0)</f>
        <v>0</v>
      </c>
      <c r="G49" s="66">
        <f>IF(G41&lt;&gt;"Dim",IF(SUM($C46:G46)&gt;43,(MIN(SUM($C46:G46),48)-43-SUM($C49:F49)),0),0)</f>
        <v>0</v>
      </c>
      <c r="H49" s="66">
        <f>IF(H41&lt;&gt;"Dim",IF(SUM($C46:H46)&gt;43,(MIN(SUM($C46:H46),48)-43-SUM($C49:G49)),0),0)</f>
        <v>0</v>
      </c>
      <c r="I49" s="66">
        <f>IF(I41&lt;&gt;"Dim",IF(SUM($C46:I46)&gt;43,(MIN(SUM($C46:I46),48)-43-SUM($C49:H49)),0),0)</f>
        <v>0</v>
      </c>
      <c r="J49" s="60">
        <f t="shared" si="130"/>
        <v>0</v>
      </c>
      <c r="K49" s="60"/>
      <c r="L49" s="66">
        <f>IF(L41&lt;&gt;"Dim",IF(L46&gt;43,(MIN(L46,48)-43),0),0)</f>
        <v>0</v>
      </c>
      <c r="M49" s="66">
        <f>IF(M41&lt;&gt;"Dim",IF(SUM($L46:M46)&gt;43,(MIN(SUM($L46:M46),48)-43-SUM($L49:L49)),0),0)</f>
        <v>0</v>
      </c>
      <c r="N49" s="66">
        <f>IF(N41&lt;&gt;"Dim",IF(SUM($L46:N46)&gt;43,(MIN(SUM($L46:N46),48)-43-SUM($L49:M49)),0),0)</f>
        <v>0</v>
      </c>
      <c r="O49" s="66">
        <f>IF(O41&lt;&gt;"Dim",IF(SUM($L46:O46)&gt;43,(MIN(SUM($L46:O46),48)-43-SUM($L49:N49)),0),0)</f>
        <v>0</v>
      </c>
      <c r="P49" s="66">
        <f>IF(P41&lt;&gt;"Dim",IF(SUM($L46:P46)&gt;43,(MIN(SUM($L46:P46),48)-43-SUM($L49:O49)),0),0)</f>
        <v>0</v>
      </c>
      <c r="Q49" s="66">
        <f>IF(Q41&lt;&gt;"Dim",IF(SUM($L46:Q46)&gt;43,(MIN(SUM($L46:Q46),48)-43-SUM($L49:P49)),0),0)</f>
        <v>0</v>
      </c>
      <c r="R49" s="66">
        <f>IF(R41&lt;&gt;"Dim",IF(SUM($L46:R46)&gt;43,(MIN(SUM($L46:R46),48)-43-SUM($L49:Q49)),0),0)</f>
        <v>0</v>
      </c>
      <c r="S49" s="60">
        <f t="shared" si="132"/>
        <v>0</v>
      </c>
      <c r="T49" s="60"/>
      <c r="U49" s="66">
        <f>IF(U41&lt;&gt;"Dim",IF(U46&gt;43,(MIN(U46,48)-43),0),0)</f>
        <v>0</v>
      </c>
      <c r="V49" s="66">
        <f>IF(V41&lt;&gt;"Dim",IF(SUM($U46:V46)&gt;43,(MIN(SUM($U46:V46),48)-43-SUM($U49:U49)),0),0)</f>
        <v>0</v>
      </c>
      <c r="W49" s="66">
        <f>IF(W41&lt;&gt;"Dim",IF(SUM($U46:W46)&gt;43,(MIN(SUM($U46:W46),48)-43-SUM($U49:V49)),0),0)</f>
        <v>0</v>
      </c>
      <c r="X49" s="66">
        <f>IF(X41&lt;&gt;"Dim",IF(SUM($U46:X46)&gt;43,(MIN(SUM($U46:X46),48)-43-SUM($U49:W49)),0),0)</f>
        <v>0</v>
      </c>
      <c r="Y49" s="66">
        <f>IF(Y41&lt;&gt;"Dim",IF(SUM($U46:Y46)&gt;43,(MIN(SUM($U46:Y46),48)-43-SUM($U49:X49)),0),0)</f>
        <v>0</v>
      </c>
      <c r="Z49" s="66">
        <f>IF(Z41&lt;&gt;"Dim",IF(SUM($U46:Z46)&gt;43,(MIN(SUM($U46:Z46),48)-43-SUM($U49:Y49)),0),0)</f>
        <v>0</v>
      </c>
      <c r="AA49" s="66">
        <f>IF(AA41&lt;&gt;"Dim",IF(SUM($U46:AA46)&gt;43,(MIN(SUM($U46:AA46),48)-43-SUM($U49:Z49)),0),0)</f>
        <v>0</v>
      </c>
      <c r="AB49" s="60">
        <f t="shared" si="134"/>
        <v>0</v>
      </c>
      <c r="AC49" s="60"/>
      <c r="AD49" s="66">
        <f>IF(AD41&lt;&gt;"Dim",IF(AD46&gt;43,(MIN(AD46,48)-43),0),0)</f>
        <v>0</v>
      </c>
      <c r="AE49" s="66">
        <f>IF(AE41&lt;&gt;"Dim",IF(SUM($AD46:AE46)&gt;43,(MIN(SUM($AD46:AE46),48)-43-SUM($AD49:AD49)),0),0)</f>
        <v>0</v>
      </c>
      <c r="AF49" s="66">
        <f>IF(AF41&lt;&gt;"Dim",IF(SUM($AD46:AF46)&gt;43,(MIN(SUM($AD46:AF46),48)-43-SUM($AD49:AE49)),0),0)</f>
        <v>0</v>
      </c>
      <c r="AG49" s="66">
        <f>IF(AG41&lt;&gt;"Dim",IF(SUM($AD46:AG46)&gt;43,(MIN(SUM($AD46:AG46),48)-43-SUM($AD49:AF49)),0),0)</f>
        <v>0</v>
      </c>
      <c r="AH49" s="66">
        <f>IF(AH41&lt;&gt;"Dim",IF(SUM($AD46:AH46)&gt;43,(MIN(SUM($AD46:AH46),48)-43-SUM($AD49:AG49)),0),0)</f>
        <v>0</v>
      </c>
      <c r="AI49" s="66">
        <f>IF(AI41&lt;&gt;"Dim",IF(SUM($AD46:AI46)&gt;43,(MIN(SUM($AD46:AI46),48)-43-SUM($AD49:AH49)),0),0)</f>
        <v>0</v>
      </c>
      <c r="AJ49" s="66">
        <f>IF(AJ41&lt;&gt;"Dim",IF(SUM($AD46:AJ46)&gt;43,(MIN(SUM($AD46:AJ46),48)-43-SUM($AD49:AI49)),0),0)</f>
        <v>0</v>
      </c>
      <c r="AK49" s="60">
        <f t="shared" si="136"/>
        <v>0</v>
      </c>
      <c r="AL49" s="60"/>
      <c r="AM49" s="66">
        <f>IF(AM41&lt;&gt;"Dim",IF(AM46&gt;43,(MIN(AM46,48)-43),0),0)</f>
        <v>0</v>
      </c>
      <c r="AN49" s="66">
        <f>IF(AN41&lt;&gt;"Dim",IF(SUM($AM46:AN46)&gt;43,(MIN(SUM($AM46:AN46),48)-43-SUM($AM49:AM49)),0),0)</f>
        <v>0</v>
      </c>
      <c r="AO49" s="66">
        <f>IF(AO41&lt;&gt;"Dim",IF(SUM($AM46:AO46)&gt;43,(MIN(SUM($AM46:AO46),48)-43-SUM($AM49:AN49)),0),0)</f>
        <v>0</v>
      </c>
      <c r="AP49" s="66">
        <f>IF(AP41&lt;&gt;"Dim",IF(SUM($AM46:AP46)&gt;43,(MIN(SUM($AM46:AP46),48)-43-SUM($AM49:AO49)),0),0)</f>
        <v>0</v>
      </c>
      <c r="AQ49" s="66">
        <f>IF(AQ41&lt;&gt;"Dim",IF(SUM($AM46:AQ46)&gt;43,(MIN(SUM($AM46:AQ46),48)-43-SUM($AM49:AP49)),0),0)</f>
        <v>0</v>
      </c>
      <c r="AR49" s="66">
        <f>IF(AR41&lt;&gt;"Dim",IF(SUM($AM46:AR46)&gt;43,(MIN(SUM($AM46:AR46),48)-43-SUM($AM49:AQ49)),0),0)</f>
        <v>0</v>
      </c>
      <c r="AS49" s="66">
        <f>IF(AS41&lt;&gt;"Dim",IF(SUM($AM46:AS46)&gt;43,(MIN(SUM($AM46:AS46),48)-43-SUM($AM49:AR49)),0),0)</f>
        <v>0</v>
      </c>
      <c r="AT49" s="60">
        <f t="shared" si="138"/>
        <v>0</v>
      </c>
      <c r="AU49" s="60"/>
      <c r="AV49" s="66">
        <f>IF(AV41&lt;&gt;"Dim",IF(AV46&gt;43,(MIN(AV46,48)-43),0),0)</f>
        <v>0</v>
      </c>
      <c r="AW49" s="66">
        <f>IF(AW41&lt;&gt;"Dim",IF(SUM($AV46:AW46)&gt;43,(MIN(SUM($AV46:AW46),48)-43-SUM($AV49:AV49)),0),0)</f>
        <v>0</v>
      </c>
      <c r="AX49" s="60">
        <f t="shared" si="128"/>
        <v>0</v>
      </c>
      <c r="AY49" s="60">
        <f t="shared" si="140"/>
        <v>0</v>
      </c>
      <c r="AZ49" s="53"/>
      <c r="BA49" s="53"/>
      <c r="BB49" s="53"/>
      <c r="BC49" s="53"/>
      <c r="BD49" s="42"/>
      <c r="BE49" s="42"/>
      <c r="BF49" s="32"/>
    </row>
    <row r="50" spans="1:58" s="7" customFormat="1" ht="15" customHeight="1" x14ac:dyDescent="0.25">
      <c r="A50" s="21" t="s">
        <v>7</v>
      </c>
      <c r="B50" s="81"/>
      <c r="C50" s="66">
        <f>IF(C41="Dim",C46,IF(C56="ferie",C46,0))</f>
        <v>0</v>
      </c>
      <c r="D50" s="66">
        <f t="shared" ref="D50:I50" si="147">IF(D41="Dim",D46,IF(D56="ferie",D46,0))</f>
        <v>0</v>
      </c>
      <c r="E50" s="66">
        <f t="shared" si="147"/>
        <v>0</v>
      </c>
      <c r="F50" s="66">
        <f t="shared" si="147"/>
        <v>0</v>
      </c>
      <c r="G50" s="66">
        <f t="shared" si="147"/>
        <v>0</v>
      </c>
      <c r="H50" s="66">
        <f t="shared" si="147"/>
        <v>0</v>
      </c>
      <c r="I50" s="66">
        <f t="shared" si="147"/>
        <v>0</v>
      </c>
      <c r="J50" s="60">
        <f t="shared" si="130"/>
        <v>0</v>
      </c>
      <c r="K50" s="60"/>
      <c r="L50" s="66">
        <f>IF(L41="Dim",L46,IF(L56="ferie",L46,0))</f>
        <v>0</v>
      </c>
      <c r="M50" s="66">
        <f t="shared" ref="M50:R50" si="148">IF(M41="Dim",M46,IF(M56="ferie",M46,0))</f>
        <v>0</v>
      </c>
      <c r="N50" s="66">
        <f t="shared" si="148"/>
        <v>0</v>
      </c>
      <c r="O50" s="66">
        <f t="shared" si="148"/>
        <v>0</v>
      </c>
      <c r="P50" s="66">
        <f t="shared" si="148"/>
        <v>0</v>
      </c>
      <c r="Q50" s="66">
        <f>IF(Q41="Dim",Q46,IF(Q56="ferie",Q46,0))</f>
        <v>0</v>
      </c>
      <c r="R50" s="66">
        <f t="shared" si="148"/>
        <v>0</v>
      </c>
      <c r="S50" s="60">
        <f t="shared" si="132"/>
        <v>0</v>
      </c>
      <c r="T50" s="60"/>
      <c r="U50" s="66">
        <f>IF(U41="Dim",U46,IF(U56="ferie",U46,0))</f>
        <v>0</v>
      </c>
      <c r="V50" s="66">
        <f t="shared" ref="V50:AA50" si="149">IF(V41="Dim",V46,IF(V56="ferie",V46,0))</f>
        <v>0</v>
      </c>
      <c r="W50" s="66">
        <f t="shared" si="149"/>
        <v>0</v>
      </c>
      <c r="X50" s="66">
        <f t="shared" si="149"/>
        <v>0</v>
      </c>
      <c r="Y50" s="66">
        <f t="shared" si="149"/>
        <v>0</v>
      </c>
      <c r="Z50" s="66">
        <f t="shared" si="149"/>
        <v>0</v>
      </c>
      <c r="AA50" s="66">
        <f t="shared" si="149"/>
        <v>0</v>
      </c>
      <c r="AB50" s="60">
        <f t="shared" si="134"/>
        <v>0</v>
      </c>
      <c r="AC50" s="60"/>
      <c r="AD50" s="66">
        <f>IF(AD41="Dim",AD46,IF(AD56="ferie",AD46,0))</f>
        <v>0</v>
      </c>
      <c r="AE50" s="66">
        <f t="shared" ref="AE50:AJ50" si="150">IF(AE41="Dim",AE46,IF(AE56="ferie",AE46,0))</f>
        <v>0</v>
      </c>
      <c r="AF50" s="66">
        <f t="shared" si="150"/>
        <v>0</v>
      </c>
      <c r="AG50" s="66">
        <f t="shared" si="150"/>
        <v>0</v>
      </c>
      <c r="AH50" s="66">
        <f t="shared" si="150"/>
        <v>0</v>
      </c>
      <c r="AI50" s="66">
        <f t="shared" si="150"/>
        <v>0</v>
      </c>
      <c r="AJ50" s="66">
        <f t="shared" si="150"/>
        <v>0</v>
      </c>
      <c r="AK50" s="60">
        <f t="shared" si="136"/>
        <v>0</v>
      </c>
      <c r="AL50" s="60"/>
      <c r="AM50" s="66">
        <f>IF(AM41="Dim",AM46,IF(AM56="ferie",AM46,0))</f>
        <v>0</v>
      </c>
      <c r="AN50" s="66">
        <f t="shared" ref="AN50:AW50" si="151">IF(AN41="Dim",AN46,IF(AN56="ferie",AN46,0))</f>
        <v>0</v>
      </c>
      <c r="AO50" s="66">
        <f t="shared" si="151"/>
        <v>0</v>
      </c>
      <c r="AP50" s="66">
        <f t="shared" si="151"/>
        <v>0</v>
      </c>
      <c r="AQ50" s="66">
        <f t="shared" si="151"/>
        <v>0</v>
      </c>
      <c r="AR50" s="66">
        <f t="shared" si="151"/>
        <v>0</v>
      </c>
      <c r="AS50" s="66">
        <f t="shared" si="151"/>
        <v>0</v>
      </c>
      <c r="AT50" s="60">
        <f>SUM(AM50:AS50)</f>
        <v>0</v>
      </c>
      <c r="AU50" s="60"/>
      <c r="AV50" s="66">
        <f>IF(AV41="Dim",AV46,IF(AV56="ferie",AV46,0))</f>
        <v>0</v>
      </c>
      <c r="AW50" s="66">
        <f t="shared" si="151"/>
        <v>0</v>
      </c>
      <c r="AX50" s="60">
        <f t="shared" si="128"/>
        <v>0</v>
      </c>
      <c r="AY50" s="60">
        <f t="shared" si="140"/>
        <v>0</v>
      </c>
      <c r="AZ50" s="40"/>
      <c r="BA50" s="40"/>
      <c r="BB50" s="40"/>
      <c r="BC50" s="40"/>
      <c r="BD50" s="40"/>
      <c r="BE50" s="40"/>
      <c r="BF50" s="29"/>
    </row>
    <row r="51" spans="1:58" s="7" customFormat="1" ht="15" customHeight="1" x14ac:dyDescent="0.25">
      <c r="A51" s="21" t="s">
        <v>8</v>
      </c>
      <c r="B51" s="81"/>
      <c r="C51" s="31"/>
      <c r="D51" s="31"/>
      <c r="E51" s="31"/>
      <c r="F51" s="31"/>
      <c r="G51" s="31"/>
      <c r="H51" s="31"/>
      <c r="I51" s="31"/>
      <c r="J51" s="60">
        <f t="shared" si="130"/>
        <v>0</v>
      </c>
      <c r="K51" s="60"/>
      <c r="L51" s="31"/>
      <c r="M51" s="31"/>
      <c r="N51" s="31"/>
      <c r="O51" s="31"/>
      <c r="P51" s="31"/>
      <c r="Q51" s="31"/>
      <c r="R51" s="31"/>
      <c r="S51" s="60">
        <f t="shared" si="132"/>
        <v>0</v>
      </c>
      <c r="T51" s="60"/>
      <c r="U51" s="31"/>
      <c r="V51" s="31"/>
      <c r="W51" s="31"/>
      <c r="X51" s="31"/>
      <c r="Y51" s="31"/>
      <c r="Z51" s="31"/>
      <c r="AA51" s="31"/>
      <c r="AB51" s="60">
        <f t="shared" si="134"/>
        <v>0</v>
      </c>
      <c r="AC51" s="60"/>
      <c r="AD51" s="31"/>
      <c r="AE51" s="31"/>
      <c r="AF51" s="31"/>
      <c r="AG51" s="31"/>
      <c r="AH51" s="31"/>
      <c r="AI51" s="31"/>
      <c r="AJ51" s="31"/>
      <c r="AK51" s="60">
        <f t="shared" si="136"/>
        <v>0</v>
      </c>
      <c r="AL51" s="60"/>
      <c r="AM51" s="31"/>
      <c r="AN51" s="31"/>
      <c r="AO51" s="31"/>
      <c r="AP51" s="31"/>
      <c r="AQ51" s="31"/>
      <c r="AR51" s="31"/>
      <c r="AS51" s="31"/>
      <c r="AT51" s="60">
        <f t="shared" si="138"/>
        <v>0</v>
      </c>
      <c r="AU51" s="60"/>
      <c r="AV51" s="31"/>
      <c r="AW51" s="31"/>
      <c r="AX51" s="60">
        <f t="shared" si="128"/>
        <v>0</v>
      </c>
      <c r="AY51" s="60">
        <f t="shared" si="140"/>
        <v>0</v>
      </c>
      <c r="AZ51" s="46"/>
      <c r="BA51" s="46"/>
      <c r="BB51" s="46"/>
      <c r="BC51" s="46"/>
      <c r="BD51" s="46"/>
      <c r="BE51" s="46"/>
      <c r="BF51" s="41"/>
    </row>
    <row r="52" spans="1:58" s="7" customFormat="1" ht="15" customHeight="1" x14ac:dyDescent="0.25">
      <c r="A52" s="36" t="s">
        <v>9</v>
      </c>
      <c r="B52" s="82"/>
      <c r="C52" s="31"/>
      <c r="D52" s="31"/>
      <c r="E52" s="31"/>
      <c r="F52" s="31"/>
      <c r="G52" s="31"/>
      <c r="H52" s="31"/>
      <c r="I52" s="31"/>
      <c r="J52" s="60">
        <f t="shared" si="130"/>
        <v>0</v>
      </c>
      <c r="K52" s="60"/>
      <c r="L52" s="31"/>
      <c r="M52" s="31"/>
      <c r="N52" s="31"/>
      <c r="O52" s="31"/>
      <c r="P52" s="31"/>
      <c r="Q52" s="31"/>
      <c r="R52" s="31"/>
      <c r="S52" s="60">
        <f t="shared" si="132"/>
        <v>0</v>
      </c>
      <c r="T52" s="60"/>
      <c r="U52" s="31"/>
      <c r="V52" s="31"/>
      <c r="W52" s="31"/>
      <c r="X52" s="31"/>
      <c r="Y52" s="31"/>
      <c r="Z52" s="31"/>
      <c r="AA52" s="31"/>
      <c r="AB52" s="60">
        <f t="shared" si="134"/>
        <v>0</v>
      </c>
      <c r="AC52" s="60"/>
      <c r="AD52" s="31"/>
      <c r="AE52" s="31"/>
      <c r="AF52" s="31"/>
      <c r="AG52" s="31"/>
      <c r="AH52" s="31"/>
      <c r="AI52" s="31"/>
      <c r="AJ52" s="31"/>
      <c r="AK52" s="60">
        <f t="shared" si="136"/>
        <v>0</v>
      </c>
      <c r="AL52" s="60"/>
      <c r="AM52" s="31"/>
      <c r="AN52" s="31"/>
      <c r="AO52" s="31"/>
      <c r="AP52" s="31"/>
      <c r="AQ52" s="31"/>
      <c r="AR52" s="31"/>
      <c r="AS52" s="31"/>
      <c r="AT52" s="60">
        <f t="shared" si="138"/>
        <v>0</v>
      </c>
      <c r="AU52" s="60"/>
      <c r="AV52" s="31"/>
      <c r="AW52" s="31"/>
      <c r="AX52" s="60">
        <f t="shared" ref="AX52:AX54" si="152">SUM(AV52:AW52)</f>
        <v>0</v>
      </c>
      <c r="AY52" s="60">
        <f t="shared" si="140"/>
        <v>0</v>
      </c>
      <c r="AZ52" s="31"/>
      <c r="BA52" s="31"/>
      <c r="BB52" s="31"/>
      <c r="BC52" s="31"/>
      <c r="BD52" s="31"/>
      <c r="BE52" s="31"/>
      <c r="BF52" s="41"/>
    </row>
    <row r="53" spans="1:58" s="7" customFormat="1" ht="15" customHeight="1" x14ac:dyDescent="0.25">
      <c r="A53" s="21" t="s">
        <v>11</v>
      </c>
      <c r="B53" s="81"/>
      <c r="C53" s="31"/>
      <c r="D53" s="31"/>
      <c r="E53" s="31"/>
      <c r="F53" s="31"/>
      <c r="G53" s="31"/>
      <c r="H53" s="31"/>
      <c r="I53" s="31"/>
      <c r="J53" s="60">
        <f t="shared" si="130"/>
        <v>0</v>
      </c>
      <c r="K53" s="60"/>
      <c r="L53" s="31"/>
      <c r="M53" s="31"/>
      <c r="N53" s="31"/>
      <c r="O53" s="31"/>
      <c r="P53" s="31"/>
      <c r="Q53" s="31"/>
      <c r="R53" s="31"/>
      <c r="S53" s="60">
        <f t="shared" si="132"/>
        <v>0</v>
      </c>
      <c r="T53" s="60"/>
      <c r="U53" s="31"/>
      <c r="V53" s="31"/>
      <c r="W53" s="31"/>
      <c r="X53" s="31"/>
      <c r="Y53" s="31"/>
      <c r="Z53" s="31"/>
      <c r="AA53" s="31"/>
      <c r="AB53" s="60">
        <f t="shared" si="134"/>
        <v>0</v>
      </c>
      <c r="AC53" s="60"/>
      <c r="AD53" s="31"/>
      <c r="AE53" s="31"/>
      <c r="AF53" s="31"/>
      <c r="AG53" s="31"/>
      <c r="AH53" s="31"/>
      <c r="AI53" s="31"/>
      <c r="AJ53" s="31"/>
      <c r="AK53" s="60">
        <f t="shared" si="136"/>
        <v>0</v>
      </c>
      <c r="AL53" s="60"/>
      <c r="AM53" s="31"/>
      <c r="AN53" s="31"/>
      <c r="AO53" s="31"/>
      <c r="AP53" s="31"/>
      <c r="AQ53" s="31"/>
      <c r="AR53" s="31"/>
      <c r="AS53" s="31"/>
      <c r="AT53" s="60">
        <f t="shared" si="138"/>
        <v>0</v>
      </c>
      <c r="AU53" s="60"/>
      <c r="AV53" s="31"/>
      <c r="AW53" s="31"/>
      <c r="AX53" s="60">
        <f t="shared" si="152"/>
        <v>0</v>
      </c>
      <c r="AY53" s="60">
        <f t="shared" si="140"/>
        <v>0</v>
      </c>
      <c r="AZ53" s="46"/>
      <c r="BA53" s="46"/>
      <c r="BB53" s="46"/>
      <c r="BC53" s="46"/>
      <c r="BD53" s="46"/>
      <c r="BE53" s="46"/>
      <c r="BF53" s="35"/>
    </row>
    <row r="54" spans="1:58" s="7" customFormat="1" ht="15" customHeight="1" x14ac:dyDescent="0.25">
      <c r="A54" s="36" t="s">
        <v>10</v>
      </c>
      <c r="B54" s="82"/>
      <c r="C54" s="31"/>
      <c r="D54" s="31"/>
      <c r="E54" s="31"/>
      <c r="F54" s="31"/>
      <c r="G54" s="31"/>
      <c r="H54" s="31"/>
      <c r="I54" s="31"/>
      <c r="J54" s="60">
        <f t="shared" si="130"/>
        <v>0</v>
      </c>
      <c r="K54" s="60"/>
      <c r="L54" s="31"/>
      <c r="M54" s="31"/>
      <c r="N54" s="31"/>
      <c r="O54" s="31"/>
      <c r="P54" s="31"/>
      <c r="Q54" s="31"/>
      <c r="R54" s="31"/>
      <c r="S54" s="60">
        <f t="shared" si="132"/>
        <v>0</v>
      </c>
      <c r="T54" s="60"/>
      <c r="U54" s="31"/>
      <c r="V54" s="31"/>
      <c r="W54" s="31"/>
      <c r="X54" s="31"/>
      <c r="Y54" s="31"/>
      <c r="Z54" s="31"/>
      <c r="AA54" s="31"/>
      <c r="AB54" s="60">
        <f t="shared" si="134"/>
        <v>0</v>
      </c>
      <c r="AC54" s="60"/>
      <c r="AD54" s="31"/>
      <c r="AE54" s="31"/>
      <c r="AF54" s="31"/>
      <c r="AG54" s="31"/>
      <c r="AH54" s="31"/>
      <c r="AI54" s="31"/>
      <c r="AJ54" s="31"/>
      <c r="AK54" s="60">
        <f t="shared" si="136"/>
        <v>0</v>
      </c>
      <c r="AL54" s="60"/>
      <c r="AM54" s="31"/>
      <c r="AN54" s="31"/>
      <c r="AO54" s="31"/>
      <c r="AP54" s="31"/>
      <c r="AQ54" s="31"/>
      <c r="AR54" s="31"/>
      <c r="AS54" s="31"/>
      <c r="AT54" s="60">
        <f t="shared" si="138"/>
        <v>0</v>
      </c>
      <c r="AU54" s="60"/>
      <c r="AV54" s="31"/>
      <c r="AW54" s="31"/>
      <c r="AX54" s="60">
        <f t="shared" si="152"/>
        <v>0</v>
      </c>
      <c r="AY54" s="60">
        <f t="shared" si="140"/>
        <v>0</v>
      </c>
      <c r="AZ54" s="46"/>
      <c r="BA54" s="46"/>
      <c r="BB54" s="46"/>
      <c r="BC54" s="46"/>
      <c r="BD54" s="46"/>
      <c r="BE54" s="46"/>
      <c r="BF54" s="35"/>
    </row>
    <row r="55" spans="1:58" s="33" customFormat="1" ht="15" customHeight="1" x14ac:dyDescent="0.25">
      <c r="A55" s="36" t="s">
        <v>44</v>
      </c>
      <c r="B55" s="82"/>
      <c r="C55" s="60">
        <f>IF(C43="nuit",C46*0.02,0)</f>
        <v>0</v>
      </c>
      <c r="D55" s="60">
        <f>IF(D43="nuit",D46*0.02,0)</f>
        <v>0</v>
      </c>
      <c r="E55" s="60">
        <f t="shared" ref="E55:I55" si="153">IF(E43="nuit",E46*0.02,0)</f>
        <v>0</v>
      </c>
      <c r="F55" s="60">
        <f t="shared" si="153"/>
        <v>0</v>
      </c>
      <c r="G55" s="60">
        <f>IF(G43="nuit",G46*0.02,0)</f>
        <v>0</v>
      </c>
      <c r="H55" s="60">
        <f t="shared" si="153"/>
        <v>0</v>
      </c>
      <c r="I55" s="60">
        <f t="shared" si="153"/>
        <v>0</v>
      </c>
      <c r="J55" s="60">
        <f t="shared" si="130"/>
        <v>0</v>
      </c>
      <c r="K55" s="60"/>
      <c r="L55" s="60">
        <f>IF(L43="nuit",L46*0.02,0)</f>
        <v>0</v>
      </c>
      <c r="M55" s="60">
        <f>IF(M43="nuit",M46*0.02,0)</f>
        <v>0</v>
      </c>
      <c r="N55" s="60">
        <f t="shared" ref="N55:R55" si="154">IF(N43="nuit",N46*0.02,0)</f>
        <v>0</v>
      </c>
      <c r="O55" s="60">
        <f t="shared" si="154"/>
        <v>0</v>
      </c>
      <c r="P55" s="60">
        <f>IF(P43="nuit",P46*0.02,0)</f>
        <v>0</v>
      </c>
      <c r="Q55" s="60">
        <f t="shared" si="154"/>
        <v>0</v>
      </c>
      <c r="R55" s="60">
        <f t="shared" si="154"/>
        <v>0</v>
      </c>
      <c r="S55" s="60">
        <f t="shared" si="132"/>
        <v>0</v>
      </c>
      <c r="T55" s="60"/>
      <c r="U55" s="60">
        <f>IF(U43="nuit",U46*0.02,0)</f>
        <v>0</v>
      </c>
      <c r="V55" s="60">
        <f>IF(V43="nuit",V46*0.02,0)</f>
        <v>0</v>
      </c>
      <c r="W55" s="60">
        <f t="shared" ref="W55:AA55" si="155">IF(W43="nuit",W46*0.02,0)</f>
        <v>0</v>
      </c>
      <c r="X55" s="60">
        <f t="shared" si="155"/>
        <v>0</v>
      </c>
      <c r="Y55" s="60">
        <f>IF(Y43="nuit",Y46*0.02,0)</f>
        <v>0</v>
      </c>
      <c r="Z55" s="60">
        <f t="shared" si="155"/>
        <v>0</v>
      </c>
      <c r="AA55" s="60">
        <f t="shared" si="155"/>
        <v>0</v>
      </c>
      <c r="AB55" s="60">
        <f t="shared" si="134"/>
        <v>0</v>
      </c>
      <c r="AC55" s="60"/>
      <c r="AD55" s="60">
        <f>IF(AD43="nuit",AD46*0.02,0)</f>
        <v>0</v>
      </c>
      <c r="AE55" s="60">
        <f>IF(AE43="nuit",AE46*0.02,0)</f>
        <v>0</v>
      </c>
      <c r="AF55" s="60">
        <f t="shared" ref="AF55:AJ55" si="156">IF(AF43="nuit",AF46*0.02,0)</f>
        <v>0</v>
      </c>
      <c r="AG55" s="60">
        <f t="shared" si="156"/>
        <v>0</v>
      </c>
      <c r="AH55" s="60">
        <f>IF(AH43="nuit",AH46*0.02,0)</f>
        <v>0</v>
      </c>
      <c r="AI55" s="60">
        <f t="shared" si="156"/>
        <v>0</v>
      </c>
      <c r="AJ55" s="60">
        <f t="shared" si="156"/>
        <v>0</v>
      </c>
      <c r="AK55" s="60">
        <f t="shared" si="136"/>
        <v>0</v>
      </c>
      <c r="AL55" s="60"/>
      <c r="AM55" s="60">
        <f>IF(AM43="nuit",AM46*0.02,0)</f>
        <v>0</v>
      </c>
      <c r="AN55" s="60">
        <f>IF(AN43="nuit",AN46*0.02,0)</f>
        <v>0</v>
      </c>
      <c r="AO55" s="60">
        <f t="shared" ref="AO55:AS55" si="157">IF(AO43="nuit",AO46*0.02,0)</f>
        <v>0</v>
      </c>
      <c r="AP55" s="60">
        <f t="shared" si="157"/>
        <v>0</v>
      </c>
      <c r="AQ55" s="60">
        <f>IF(AQ43="nuit",AQ46*0.02,0)</f>
        <v>0</v>
      </c>
      <c r="AR55" s="60">
        <f t="shared" si="157"/>
        <v>0</v>
      </c>
      <c r="AS55" s="60">
        <f t="shared" si="157"/>
        <v>0</v>
      </c>
      <c r="AT55" s="60">
        <f t="shared" si="138"/>
        <v>0</v>
      </c>
      <c r="AU55" s="60"/>
      <c r="AV55" s="60">
        <f>IF(AV43="nuit",AV46*0.02,0)</f>
        <v>0</v>
      </c>
      <c r="AW55" s="60">
        <f>IF(AW43="nuit",AW46*0.02,0)</f>
        <v>0</v>
      </c>
      <c r="AX55" s="60">
        <f>SUM(AV55:AW55)</f>
        <v>0</v>
      </c>
      <c r="AY55" s="60">
        <f>J55+S55+AB55+AK55+AT55+AX55</f>
        <v>0</v>
      </c>
      <c r="AZ55" s="52"/>
      <c r="BA55" s="52"/>
      <c r="BB55" s="52"/>
      <c r="BC55" s="52"/>
      <c r="BD55" s="52"/>
      <c r="BE55" s="52"/>
      <c r="BF55" s="35"/>
    </row>
    <row r="56" spans="1:58" s="7" customFormat="1" ht="15" customHeight="1" x14ac:dyDescent="0.25">
      <c r="A56" s="21" t="s">
        <v>31</v>
      </c>
      <c r="B56" s="81"/>
      <c r="C56" s="31"/>
      <c r="D56" s="31"/>
      <c r="E56" s="31"/>
      <c r="F56" s="31"/>
      <c r="G56" s="31"/>
      <c r="H56" s="37"/>
      <c r="I56" s="37"/>
      <c r="J56" s="64"/>
      <c r="K56" s="64"/>
      <c r="L56" s="37"/>
      <c r="M56" s="37"/>
      <c r="N56" s="37"/>
      <c r="O56" s="37"/>
      <c r="P56" s="37"/>
      <c r="Q56" s="37"/>
      <c r="R56" s="37"/>
      <c r="S56" s="64"/>
      <c r="T56" s="64"/>
      <c r="U56" s="37"/>
      <c r="V56" s="37"/>
      <c r="W56" s="37"/>
      <c r="X56" s="37"/>
      <c r="Y56" s="37"/>
      <c r="Z56" s="37"/>
      <c r="AA56" s="37"/>
      <c r="AB56" s="64"/>
      <c r="AC56" s="64"/>
      <c r="AD56" s="37"/>
      <c r="AE56" s="37"/>
      <c r="AF56" s="37"/>
      <c r="AG56" s="37"/>
      <c r="AH56" s="37"/>
      <c r="AI56" s="37"/>
      <c r="AJ56" s="37"/>
      <c r="AK56" s="64"/>
      <c r="AL56" s="64"/>
      <c r="AM56" s="37"/>
      <c r="AN56" s="37"/>
      <c r="AO56" s="37"/>
      <c r="AP56" s="37"/>
      <c r="AQ56" s="37"/>
      <c r="AR56" s="37"/>
      <c r="AS56" s="37"/>
      <c r="AT56" s="64"/>
      <c r="AU56" s="64"/>
      <c r="AV56" s="37"/>
      <c r="AW56" s="37"/>
      <c r="AX56" s="64"/>
      <c r="AY56" s="65"/>
      <c r="AZ56" s="46"/>
      <c r="BA56" s="46"/>
      <c r="BB56" s="46"/>
      <c r="BC56" s="46"/>
      <c r="BD56" s="46"/>
      <c r="BE56" s="46"/>
      <c r="BF56" s="35"/>
    </row>
    <row r="57" spans="1:58" s="7" customFormat="1" ht="15" customHeight="1" x14ac:dyDescent="0.25">
      <c r="A57" s="38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69"/>
      <c r="AZ57" s="46"/>
      <c r="BA57" s="46"/>
      <c r="BB57" s="46"/>
      <c r="BC57" s="46"/>
      <c r="BD57" s="46"/>
      <c r="BE57" s="46"/>
      <c r="BF57" s="35"/>
    </row>
    <row r="58" spans="1:58" s="8" customFormat="1" ht="27.6" x14ac:dyDescent="0.25">
      <c r="A58" s="21"/>
      <c r="B58" s="21"/>
      <c r="C58" s="24" t="s">
        <v>22</v>
      </c>
      <c r="D58" s="24"/>
      <c r="E58" s="24"/>
      <c r="F58" s="24"/>
      <c r="G58" s="24"/>
      <c r="H58" s="95">
        <f>Année_Calendaire</f>
        <v>2016</v>
      </c>
      <c r="I58" s="95"/>
      <c r="J58" s="49"/>
      <c r="K58" s="79"/>
      <c r="L58" s="31"/>
      <c r="M58" s="31"/>
      <c r="N58" s="31"/>
      <c r="O58" s="31"/>
      <c r="P58" s="31"/>
      <c r="Q58" s="31"/>
      <c r="R58" s="31"/>
      <c r="S58" s="49"/>
      <c r="T58" s="79"/>
      <c r="U58" s="24" t="s">
        <v>22</v>
      </c>
      <c r="V58" s="24"/>
      <c r="W58" s="24"/>
      <c r="X58" s="24"/>
      <c r="Y58" s="24"/>
      <c r="Z58" s="95">
        <f>Année_Calendaire</f>
        <v>2016</v>
      </c>
      <c r="AA58" s="95"/>
      <c r="AB58" s="49"/>
      <c r="AC58" s="79"/>
      <c r="AD58" s="31"/>
      <c r="AE58" s="31"/>
      <c r="AF58" s="31"/>
      <c r="AG58" s="31"/>
      <c r="AH58" s="31"/>
      <c r="AI58" s="31"/>
      <c r="AJ58" s="31"/>
      <c r="AK58" s="49"/>
      <c r="AL58" s="79"/>
      <c r="AM58" s="24" t="s">
        <v>22</v>
      </c>
      <c r="AN58" s="24"/>
      <c r="AO58" s="24"/>
      <c r="AP58" s="24"/>
      <c r="AQ58" s="24"/>
      <c r="AR58" s="95">
        <f>Année_Calendaire</f>
        <v>2016</v>
      </c>
      <c r="AS58" s="95"/>
      <c r="AT58" s="49"/>
      <c r="AU58" s="79"/>
      <c r="AV58" s="31"/>
      <c r="AW58" s="31"/>
      <c r="AX58" s="49"/>
      <c r="AY58" s="52"/>
      <c r="AZ58" s="52"/>
      <c r="BA58" s="52"/>
      <c r="BB58" s="52"/>
      <c r="BC58" s="52"/>
      <c r="BD58" s="52"/>
      <c r="BE58" s="52"/>
      <c r="BF58" s="35"/>
    </row>
    <row r="59" spans="1:58" s="8" customFormat="1" ht="29.25" customHeight="1" x14ac:dyDescent="0.25">
      <c r="A59" s="31"/>
      <c r="B59" s="31"/>
      <c r="C59" s="62" t="s">
        <v>13</v>
      </c>
      <c r="D59" s="62" t="s">
        <v>14</v>
      </c>
      <c r="E59" s="62" t="s">
        <v>15</v>
      </c>
      <c r="F59" s="62" t="s">
        <v>16</v>
      </c>
      <c r="G59" s="62" t="s">
        <v>17</v>
      </c>
      <c r="H59" s="62" t="s">
        <v>18</v>
      </c>
      <c r="I59" s="62" t="s">
        <v>19</v>
      </c>
      <c r="J59" s="96" t="s">
        <v>32</v>
      </c>
      <c r="K59" s="85"/>
      <c r="L59" s="62" t="s">
        <v>13</v>
      </c>
      <c r="M59" s="62" t="s">
        <v>14</v>
      </c>
      <c r="N59" s="62" t="s">
        <v>15</v>
      </c>
      <c r="O59" s="62" t="s">
        <v>16</v>
      </c>
      <c r="P59" s="62" t="s">
        <v>17</v>
      </c>
      <c r="Q59" s="62" t="s">
        <v>18</v>
      </c>
      <c r="R59" s="62" t="s">
        <v>19</v>
      </c>
      <c r="S59" s="96" t="s">
        <v>32</v>
      </c>
      <c r="T59" s="85"/>
      <c r="U59" s="62" t="s">
        <v>13</v>
      </c>
      <c r="V59" s="62" t="s">
        <v>14</v>
      </c>
      <c r="W59" s="62" t="s">
        <v>15</v>
      </c>
      <c r="X59" s="62" t="s">
        <v>16</v>
      </c>
      <c r="Y59" s="62" t="s">
        <v>17</v>
      </c>
      <c r="Z59" s="62" t="s">
        <v>18</v>
      </c>
      <c r="AA59" s="62" t="s">
        <v>19</v>
      </c>
      <c r="AB59" s="96" t="s">
        <v>32</v>
      </c>
      <c r="AC59" s="85"/>
      <c r="AD59" s="62" t="s">
        <v>13</v>
      </c>
      <c r="AE59" s="62" t="s">
        <v>14</v>
      </c>
      <c r="AF59" s="62" t="s">
        <v>15</v>
      </c>
      <c r="AG59" s="62" t="s">
        <v>16</v>
      </c>
      <c r="AH59" s="62" t="s">
        <v>17</v>
      </c>
      <c r="AI59" s="62" t="s">
        <v>18</v>
      </c>
      <c r="AJ59" s="62" t="s">
        <v>19</v>
      </c>
      <c r="AK59" s="96" t="s">
        <v>32</v>
      </c>
      <c r="AL59" s="85"/>
      <c r="AM59" s="62" t="s">
        <v>13</v>
      </c>
      <c r="AN59" s="62" t="s">
        <v>14</v>
      </c>
      <c r="AO59" s="62" t="s">
        <v>15</v>
      </c>
      <c r="AP59" s="62" t="s">
        <v>16</v>
      </c>
      <c r="AQ59" s="62" t="s">
        <v>17</v>
      </c>
      <c r="AR59" s="62" t="s">
        <v>18</v>
      </c>
      <c r="AS59" s="62" t="s">
        <v>19</v>
      </c>
      <c r="AT59" s="96" t="s">
        <v>32</v>
      </c>
      <c r="AU59" s="85" t="s">
        <v>79</v>
      </c>
      <c r="AV59" s="62" t="s">
        <v>13</v>
      </c>
      <c r="AW59" s="62" t="s">
        <v>14</v>
      </c>
      <c r="AX59" s="96" t="s">
        <v>32</v>
      </c>
      <c r="AY59" s="96" t="s">
        <v>35</v>
      </c>
      <c r="AZ59" s="97">
        <f>AY66+AY67+AY68</f>
        <v>0</v>
      </c>
      <c r="BA59" s="97">
        <f>AZ59+BA41</f>
        <v>10</v>
      </c>
      <c r="BB59" s="52"/>
      <c r="BC59" s="52"/>
      <c r="BD59" s="52"/>
      <c r="BE59" s="52"/>
      <c r="BF59" s="35"/>
    </row>
    <row r="60" spans="1:58" s="8" customFormat="1" ht="15" customHeight="1" x14ac:dyDescent="0.25">
      <c r="A60" s="48"/>
      <c r="B60" s="83"/>
      <c r="C60" s="67" t="str">
        <f>IF(DAY(Avr_Dim1)=1,"",IF(AND(YEAR(Avr_Dim1+1)=Année_Calendaire,MONTH(Avr_Dim1+1)=4),Avr_Dim1+1,""))</f>
        <v/>
      </c>
      <c r="D60" s="67" t="str">
        <f>IF(DAY(Avr_Dim1)=1,"",IF(AND(YEAR(Avr_Dim1+2)=Année_Calendaire,MONTH(Avr_Dim1+2)=4),Avr_Dim1+2,""))</f>
        <v/>
      </c>
      <c r="E60" s="67" t="str">
        <f>IF(DAY(Avr_Dim1)=1,"",IF(AND(YEAR(Avr_Dim1+3)=Année_Calendaire,MONTH(Avr_Dim1+3)=4),Avr_Dim1+3,""))</f>
        <v/>
      </c>
      <c r="F60" s="67" t="str">
        <f>IF(DAY(Avr_Dim1)=1,"",IF(AND(YEAR(Avr_Dim1+4)=Année_Calendaire,MONTH(Avr_Dim1+4)=4),Avr_Dim1+4,""))</f>
        <v/>
      </c>
      <c r="G60" s="67">
        <f>IF(DAY(Avr_Dim1)=1,"",IF(AND(YEAR(Avr_Dim1+5)=Année_Calendaire,MONTH(Avr_Dim1+5)=4),Avr_Dim1+5,""))</f>
        <v>42461</v>
      </c>
      <c r="H60" s="67">
        <f>IF(DAY(Avr_Dim1)=1,"",IF(AND(YEAR(Avr_Dim1+6)=Année_Calendaire,MONTH(Avr_Dim1+6)=4),Avr_Dim1+6,""))</f>
        <v>42462</v>
      </c>
      <c r="I60" s="67">
        <f>IF(DAY(Avr_Dim1)=1,IF(AND(YEAR(Avr_Dim1)=Année_Calendaire,MONTH(Avr_Dim1)=4),Avr_Dim1,""),IF(AND(YEAR(Avr_Dim1+7)=Année_Calendaire,MONTH(Avr_Dim1+7)=4),Avr_Dim1+7,""))</f>
        <v>42463</v>
      </c>
      <c r="J60" s="96"/>
      <c r="K60" s="78"/>
      <c r="L60" s="67">
        <f>IF(DAY(Avr_Dim1)=1,IF(AND(YEAR(Avr_Dim1+1)=Année_Calendaire,MONTH(Avr_Dim1+1)=4),Avr_Dim1+1,""),IF(AND(YEAR(Avr_Dim1+8)=Année_Calendaire,MONTH(Avr_Dim1+8)=4),Avr_Dim1+8,""))</f>
        <v>42464</v>
      </c>
      <c r="M60" s="67">
        <f>IF(DAY(Avr_Dim1)=1,IF(AND(YEAR(Avr_Dim1+2)=Année_Calendaire,MONTH(Avr_Dim1+2)=4),Avr_Dim1+2,""),IF(AND(YEAR(Avr_Dim1+9)=Année_Calendaire,MONTH(Avr_Dim1+9)=4),Avr_Dim1+9,""))</f>
        <v>42465</v>
      </c>
      <c r="N60" s="67">
        <f>IF(DAY(Avr_Dim1)=1,IF(AND(YEAR(Avr_Dim1+3)=Année_Calendaire,MONTH(Avr_Dim1+3)=4),Avr_Dim1+3,""),IF(AND(YEAR(Avr_Dim1+10)=Année_Calendaire,MONTH(Avr_Dim1+10)=4),Avr_Dim1+10,""))</f>
        <v>42466</v>
      </c>
      <c r="O60" s="67">
        <f>IF(DAY(Avr_Dim1)=1,IF(AND(YEAR(Avr_Dim1+4)=Année_Calendaire,MONTH(Avr_Dim1+4)=4),Avr_Dim1+4,""),IF(AND(YEAR(Avr_Dim1+11)=Année_Calendaire,MONTH(Avr_Dim1+11)=4),Avr_Dim1+11,""))</f>
        <v>42467</v>
      </c>
      <c r="P60" s="67">
        <f>IF(DAY(Avr_Dim1)=1,IF(AND(YEAR(Avr_Dim1+5)=Année_Calendaire,MONTH(Avr_Dim1+5)=4),Avr_Dim1+5,""),IF(AND(YEAR(Avr_Dim1+12)=Année_Calendaire,MONTH(Avr_Dim1+12)=4),Avr_Dim1+12,""))</f>
        <v>42468</v>
      </c>
      <c r="Q60" s="67">
        <f>IF(DAY(Avr_Dim1)=1,IF(AND(YEAR(Avr_Dim1+6)=Année_Calendaire,MONTH(Avr_Dim1+6)=4),Avr_Dim1+6,""),IF(AND(YEAR(Avr_Dim1+13)=Année_Calendaire,MONTH(Avr_Dim1+13)=4),Avr_Dim1+13,""))</f>
        <v>42469</v>
      </c>
      <c r="R60" s="67">
        <f>IF(DAY(Avr_Dim1)=1,IF(AND(YEAR(Avr_Dim1+7)=Année_Calendaire,MONTH(Avr_Dim1+7)=4),Avr_Dim1+7,""),IF(AND(YEAR(Avr_Dim1+14)=Année_Calendaire,MONTH(Avr_Dim1+14)=4),Avr_Dim1+14,""))</f>
        <v>42470</v>
      </c>
      <c r="S60" s="96"/>
      <c r="T60" s="78"/>
      <c r="U60" s="67">
        <f>IF(DAY(Avr_Dim1)=1,IF(AND(YEAR(Avr_Dim1+8)=Année_Calendaire,MONTH(Avr_Dim1+8)=4),Avr_Dim1+8,""),IF(AND(YEAR(Avr_Dim1+15)=Année_Calendaire,MONTH(Avr_Dim1+15)=4),Avr_Dim1+15,""))</f>
        <v>42471</v>
      </c>
      <c r="V60" s="67">
        <f>IF(DAY(Avr_Dim1)=1,IF(AND(YEAR(Avr_Dim1+9)=Année_Calendaire,MONTH(Avr_Dim1+9)=4),Avr_Dim1+9,""),IF(AND(YEAR(Avr_Dim1+16)=Année_Calendaire,MONTH(Avr_Dim1+16)=4),Avr_Dim1+16,""))</f>
        <v>42472</v>
      </c>
      <c r="W60" s="67">
        <f>IF(DAY(Avr_Dim1)=1,IF(AND(YEAR(Avr_Dim1+10)=Année_Calendaire,MONTH(Avr_Dim1+10)=4),Avr_Dim1+10,""),IF(AND(YEAR(Avr_Dim1+17)=Année_Calendaire,MONTH(Avr_Dim1+17)=4),Avr_Dim1+17,""))</f>
        <v>42473</v>
      </c>
      <c r="X60" s="67">
        <f>IF(DAY(Avr_Dim1)=1,IF(AND(YEAR(Avr_Dim1+11)=Année_Calendaire,MONTH(Avr_Dim1+11)=4),Avr_Dim1+11,""),IF(AND(YEAR(Avr_Dim1+18)=Année_Calendaire,MONTH(Avr_Dim1+18)=4),Avr_Dim1+18,""))</f>
        <v>42474</v>
      </c>
      <c r="Y60" s="67">
        <f>IF(DAY(Avr_Dim1)=1,IF(AND(YEAR(Avr_Dim1+12)=Année_Calendaire,MONTH(Avr_Dim1+12)=4),Avr_Dim1+12,""),IF(AND(YEAR(Avr_Dim1+19)=Année_Calendaire,MONTH(Avr_Dim1+19)=4),Avr_Dim1+19,""))</f>
        <v>42475</v>
      </c>
      <c r="Z60" s="67">
        <f>IF(DAY(Avr_Dim1)=1,IF(AND(YEAR(Avr_Dim1+13)=Année_Calendaire,MONTH(Avr_Dim1+13)=4),Avr_Dim1+13,""),IF(AND(YEAR(Avr_Dim1+20)=Année_Calendaire,MONTH(Avr_Dim1+20)=4),Avr_Dim1+20,""))</f>
        <v>42476</v>
      </c>
      <c r="AA60" s="67">
        <f>IF(DAY(Avr_Dim1)=1,IF(AND(YEAR(Avr_Dim1+14)=Année_Calendaire,MONTH(Avr_Dim1+14)=4),Avr_Dim1+14,""),IF(AND(YEAR(Avr_Dim1+21)=Année_Calendaire,MONTH(Avr_Dim1+21)=4),Avr_Dim1+21,""))</f>
        <v>42477</v>
      </c>
      <c r="AB60" s="96"/>
      <c r="AC60" s="78"/>
      <c r="AD60" s="67">
        <f>IF(DAY(Avr_Dim1)=1,IF(AND(YEAR(Avr_Dim1+15)=Année_Calendaire,MONTH(Avr_Dim1+15)=4),Avr_Dim1+15,""),IF(AND(YEAR(Avr_Dim1+22)=Année_Calendaire,MONTH(Avr_Dim1+22)=4),Avr_Dim1+22,""))</f>
        <v>42478</v>
      </c>
      <c r="AE60" s="67">
        <f>IF(DAY(Avr_Dim1)=1,IF(AND(YEAR(Avr_Dim1+16)=Année_Calendaire,MONTH(Avr_Dim1+16)=4),Avr_Dim1+16,""),IF(AND(YEAR(Avr_Dim1+23)=Année_Calendaire,MONTH(Avr_Dim1+23)=4),Avr_Dim1+23,""))</f>
        <v>42479</v>
      </c>
      <c r="AF60" s="67">
        <f>IF(DAY(Avr_Dim1)=1,IF(AND(YEAR(Avr_Dim1+17)=Année_Calendaire,MONTH(Avr_Dim1+17)=4),Avr_Dim1+17,""),IF(AND(YEAR(Avr_Dim1+24)=Année_Calendaire,MONTH(Avr_Dim1+24)=4),Avr_Dim1+24,""))</f>
        <v>42480</v>
      </c>
      <c r="AG60" s="67">
        <f>IF(DAY(Avr_Dim1)=1,IF(AND(YEAR(Avr_Dim1+18)=Année_Calendaire,MONTH(Avr_Dim1+18)=4),Avr_Dim1+18,""),IF(AND(YEAR(Avr_Dim1+25)=Année_Calendaire,MONTH(Avr_Dim1+25)=4),Avr_Dim1+25,""))</f>
        <v>42481</v>
      </c>
      <c r="AH60" s="67">
        <f>IF(DAY(Avr_Dim1)=1,IF(AND(YEAR(Avr_Dim1+19)=Année_Calendaire,MONTH(Avr_Dim1+19)=4),Avr_Dim1+19,""),IF(AND(YEAR(Avr_Dim1+26)=Année_Calendaire,MONTH(Avr_Dim1+26)=4),Avr_Dim1+26,""))</f>
        <v>42482</v>
      </c>
      <c r="AI60" s="67">
        <f>IF(DAY(Avr_Dim1)=1,IF(AND(YEAR(Avr_Dim1+20)=Année_Calendaire,MONTH(Avr_Dim1+20)=4),Avr_Dim1+20,""),IF(AND(YEAR(Avr_Dim1+27)=Année_Calendaire,MONTH(Avr_Dim1+27)=4),Avr_Dim1+27,""))</f>
        <v>42483</v>
      </c>
      <c r="AJ60" s="67">
        <f>IF(DAY(Avr_Dim1)=1,IF(AND(YEAR(Avr_Dim1+21)=Année_Calendaire,MONTH(Avr_Dim1+21)=4),Avr_Dim1+21,""),IF(AND(YEAR(Avr_Dim1+28)=Année_Calendaire,MONTH(Avr_Dim1+28)=4),Avr_Dim1+28,""))</f>
        <v>42484</v>
      </c>
      <c r="AK60" s="96"/>
      <c r="AL60" s="78"/>
      <c r="AM60" s="67">
        <f>IF(DAY(Avr_Dim1)=1,IF(AND(YEAR(Avr_Dim1+22)=Année_Calendaire,MONTH(Avr_Dim1+22)=4),Avr_Dim1+22,""),IF(AND(YEAR(Avr_Dim1+29)=Année_Calendaire,MONTH(Avr_Dim1+29)=4),Avr_Dim1+29,""))</f>
        <v>42485</v>
      </c>
      <c r="AN60" s="67">
        <f>IF(DAY(Avr_Dim1)=1,IF(AND(YEAR(Avr_Dim1+23)=Année_Calendaire,MONTH(Avr_Dim1+23)=4),Avr_Dim1+23,""),IF(AND(YEAR(Avr_Dim1+30)=Année_Calendaire,MONTH(Avr_Dim1+30)=4),Avr_Dim1+30,""))</f>
        <v>42486</v>
      </c>
      <c r="AO60" s="67">
        <f>IF(DAY(Avr_Dim1)=1,IF(AND(YEAR(Avr_Dim1+24)=Année_Calendaire,MONTH(Avr_Dim1+24)=4),Avr_Dim1+24,""),IF(AND(YEAR(Avr_Dim1+31)=Année_Calendaire,MONTH(Avr_Dim1+31)=4),Avr_Dim1+31,""))</f>
        <v>42487</v>
      </c>
      <c r="AP60" s="67">
        <f>IF(DAY(Avr_Dim1)=1,IF(AND(YEAR(Avr_Dim1+25)=Année_Calendaire,MONTH(Avr_Dim1+25)=4),Avr_Dim1+25,""),IF(AND(YEAR(Avr_Dim1+32)=Année_Calendaire,MONTH(Avr_Dim1+32)=4),Avr_Dim1+32,""))</f>
        <v>42488</v>
      </c>
      <c r="AQ60" s="67">
        <f>IF(DAY(Avr_Dim1)=1,IF(AND(YEAR(Avr_Dim1+26)=Année_Calendaire,MONTH(Avr_Dim1+26)=4),Avr_Dim1+26,""),IF(AND(YEAR(Avr_Dim1+33)=Année_Calendaire,MONTH(Avr_Dim1+33)=4),Avr_Dim1+33,""))</f>
        <v>42489</v>
      </c>
      <c r="AR60" s="67">
        <f>IF(DAY(Avr_Dim1)=1,IF(AND(YEAR(Avr_Dim1+27)=Année_Calendaire,MONTH(Avr_Dim1+27)=4),Avr_Dim1+27,""),IF(AND(YEAR(Avr_Dim1+34)=Année_Calendaire,MONTH(Avr_Dim1+34)=4),Avr_Dim1+34,""))</f>
        <v>42490</v>
      </c>
      <c r="AS60" s="67" t="str">
        <f>IF(DAY(Avr_Dim1)=1,IF(AND(YEAR(Avr_Dim1+28)=Année_Calendaire,MONTH(Avr_Dim1+28)=4),Avr_Dim1+28,""),IF(AND(YEAR(Avr_Dim1+35)=Année_Calendaire,MONTH(Avr_Dim1+35)=4),Avr_Dim1+35,""))</f>
        <v/>
      </c>
      <c r="AT60" s="96"/>
      <c r="AU60" s="78"/>
      <c r="AV60" s="61" t="str">
        <f>IF(DAY(Avr_Dim1)=1,IF(AND(YEAR(Avr_Dim1+29)=Année_Calendaire,MONTH(Avr_Dim1+29)=4),Avr_Dim1+29,""),IF(AND(YEAR(Avr_Dim1+36)=Année_Calendaire,MONTH(Avr_Dim1+36)=4),Avr_Dim1+36,""))</f>
        <v/>
      </c>
      <c r="AW60" s="61" t="str">
        <f>IF(DAY(Avr_Dim1)=1,IF(AND(YEAR(Avr_Dim1+30)=Année_Calendaire,MONTH(Avr_Dim1+30)=4),Avr_Dim1+30,""),IF(AND(YEAR(Avr_Dim1+37)=Année_Calendaire,MONTH(Avr_Dim1+37)=4),Avr_Dim1+37,""))</f>
        <v/>
      </c>
      <c r="AX60" s="96"/>
      <c r="AY60" s="96"/>
      <c r="AZ60" s="97"/>
      <c r="BA60" s="97"/>
      <c r="BB60" s="52"/>
      <c r="BC60" s="52"/>
      <c r="BD60" s="52"/>
      <c r="BE60" s="52"/>
      <c r="BF60" s="35"/>
    </row>
    <row r="61" spans="1:58" s="8" customFormat="1" ht="15" customHeight="1" x14ac:dyDescent="0.25">
      <c r="A61" s="21" t="s">
        <v>2</v>
      </c>
      <c r="B61" s="81"/>
      <c r="C61" s="60">
        <f>IFERROR(VLOOKUP(B59,DATA!$A:$H,2,TRUE),0)</f>
        <v>0</v>
      </c>
      <c r="D61" s="60">
        <f>IFERROR(VLOOKUP(B59,DATA!$A:$H,3,TRUE),0)</f>
        <v>0</v>
      </c>
      <c r="E61" s="60">
        <f>IFERROR(VLOOKUP(B59,DATA!$A:$H,4,TRUE),0)</f>
        <v>0</v>
      </c>
      <c r="F61" s="60">
        <f>IFERROR(VLOOKUP(B59,DATA!$A:$H,5,TRUE),0)</f>
        <v>0</v>
      </c>
      <c r="G61" s="60">
        <f>IFERROR(VLOOKUP(B59,DATA!$A:$H,6,TRUE),0)</f>
        <v>0</v>
      </c>
      <c r="H61" s="60">
        <f>IFERROR(VLOOKUP(B59,DATA!$A:$H,7,TRUE),0)</f>
        <v>0</v>
      </c>
      <c r="I61" s="60">
        <f>IFERROR(VLOOKUP(B59,DATA!$A:$H,8,TRUE),0)</f>
        <v>0</v>
      </c>
      <c r="J61" s="60"/>
      <c r="K61" s="60"/>
      <c r="L61" s="60">
        <f>IFERROR(VLOOKUP(K59,DATA!$A:$H,2,TRUE),0)</f>
        <v>0</v>
      </c>
      <c r="M61" s="60">
        <f>IFERROR(VLOOKUP(K59,DATA!$A:$H,3,TRUE),0)</f>
        <v>0</v>
      </c>
      <c r="N61" s="60">
        <f>IFERROR(VLOOKUP(K59,DATA!$A:$H,4,TRUE),0)</f>
        <v>0</v>
      </c>
      <c r="O61" s="60">
        <f>IFERROR(VLOOKUP(K59,DATA!$A:$H,5,TRUE),0)</f>
        <v>0</v>
      </c>
      <c r="P61" s="60">
        <f>IFERROR(VLOOKUP(K59,DATA!$A:$H,6,TRUE),0)</f>
        <v>0</v>
      </c>
      <c r="Q61" s="60">
        <f>IFERROR(VLOOKUP(K59,DATA!$A:$H,7,TRUE),0)</f>
        <v>0</v>
      </c>
      <c r="R61" s="60">
        <f>IFERROR(VLOOKUP(K59,DATA!$A:$H,8,TRUE),0)</f>
        <v>0</v>
      </c>
      <c r="S61" s="60"/>
      <c r="T61" s="60"/>
      <c r="U61" s="60">
        <f>IFERROR(VLOOKUP(T59,DATA!$A:$H,2,TRUE),0)</f>
        <v>0</v>
      </c>
      <c r="V61" s="60">
        <f>IFERROR(VLOOKUP(T59,DATA!$A:$H,3,TRUE),0)</f>
        <v>0</v>
      </c>
      <c r="W61" s="60">
        <f>IFERROR(VLOOKUP(T59,DATA!$A:$H,4,TRUE),0)</f>
        <v>0</v>
      </c>
      <c r="X61" s="60">
        <f>IFERROR(VLOOKUP(T59,DATA!$A:$H,5,TRUE),0)</f>
        <v>0</v>
      </c>
      <c r="Y61" s="60">
        <f>IFERROR(VLOOKUP(T59,DATA!$A:$H,6,TRUE),0)</f>
        <v>0</v>
      </c>
      <c r="Z61" s="60">
        <f>IFERROR(VLOOKUP(T59,DATA!$A:$H,7,TRUE),0)</f>
        <v>0</v>
      </c>
      <c r="AA61" s="60">
        <f>IFERROR(VLOOKUP(T59,DATA!$A:$H,8,TRUE),0)</f>
        <v>0</v>
      </c>
      <c r="AB61" s="60"/>
      <c r="AC61" s="60"/>
      <c r="AD61" s="60">
        <f>IFERROR(VLOOKUP(AC59,DATA!$A:$H,2,TRUE),0)</f>
        <v>0</v>
      </c>
      <c r="AE61" s="60">
        <f>IFERROR(VLOOKUP(AC59,DATA!$A:$H,3,TRUE),0)</f>
        <v>0</v>
      </c>
      <c r="AF61" s="60">
        <f>IFERROR(VLOOKUP(AC59,DATA!$A:$H,4,TRUE),0)</f>
        <v>0</v>
      </c>
      <c r="AG61" s="60">
        <f>IFERROR(VLOOKUP(AC59,DATA!$A:$H,5,TRUE),0)</f>
        <v>0</v>
      </c>
      <c r="AH61" s="60">
        <f>IFERROR(VLOOKUP(AC59,DATA!$A:$H,6,TRUE),0)</f>
        <v>0</v>
      </c>
      <c r="AI61" s="60">
        <f>IFERROR(VLOOKUP(AC59,DATA!$A:$H,7,TRUE),0)</f>
        <v>0</v>
      </c>
      <c r="AJ61" s="60">
        <f>IFERROR(VLOOKUP(AC59,DATA!$A:$H,8,TRUE),0)</f>
        <v>0</v>
      </c>
      <c r="AK61" s="60"/>
      <c r="AL61" s="60"/>
      <c r="AM61" s="60">
        <f>IFERROR(VLOOKUP(AL59,DATA!$A:$H,2,TRUE),0)</f>
        <v>0</v>
      </c>
      <c r="AN61" s="60">
        <f>IFERROR(VLOOKUP(AL59,DATA!$A:$H,3,TRUE),0)</f>
        <v>0</v>
      </c>
      <c r="AO61" s="60">
        <f>IFERROR(VLOOKUP(AL59,DATA!$A:$H,4,TRUE),0)</f>
        <v>0</v>
      </c>
      <c r="AP61" s="60">
        <f>IFERROR(VLOOKUP(AL59,DATA!$A:$H,5,TRUE),0)</f>
        <v>0</v>
      </c>
      <c r="AQ61" s="60">
        <f>IFERROR(VLOOKUP(AL59,DATA!$A:$H,6,TRUE),0)</f>
        <v>0</v>
      </c>
      <c r="AR61" s="60">
        <f>IFERROR(VLOOKUP(AL59,DATA!$A:$H,7,TRUE),0)</f>
        <v>0</v>
      </c>
      <c r="AS61" s="60">
        <f>IFERROR(VLOOKUP(AL59,DATA!$A:$H,8,TRUE),0)</f>
        <v>0</v>
      </c>
      <c r="AT61" s="60"/>
      <c r="AU61" s="60"/>
      <c r="AV61" s="60" t="str">
        <f>IFERROR(VLOOKUP(AU59,DATA!$A:$H,2,TRUE),0)</f>
        <v>matin</v>
      </c>
      <c r="AW61" s="60">
        <f>IFERROR(VLOOKUP(AU59,DATA!$A:$H,3,TRUE),0)</f>
        <v>0</v>
      </c>
      <c r="AX61" s="60"/>
      <c r="AY61" s="63"/>
      <c r="AZ61" s="52"/>
      <c r="BA61" s="52"/>
      <c r="BB61" s="52"/>
      <c r="BC61" s="52"/>
      <c r="BD61" s="52"/>
      <c r="BE61" s="52"/>
      <c r="BF61" s="35"/>
    </row>
    <row r="62" spans="1:58" s="8" customFormat="1" ht="15" customHeight="1" x14ac:dyDescent="0.25">
      <c r="A62" s="21" t="s">
        <v>12</v>
      </c>
      <c r="B62" s="81"/>
      <c r="C62" s="60">
        <f t="shared" ref="C62:I62" si="158">IF(C61="Matin",1,IF(C61="AM",1,0))</f>
        <v>0</v>
      </c>
      <c r="D62" s="60">
        <f t="shared" si="158"/>
        <v>0</v>
      </c>
      <c r="E62" s="60">
        <f t="shared" si="158"/>
        <v>0</v>
      </c>
      <c r="F62" s="60">
        <f t="shared" si="158"/>
        <v>0</v>
      </c>
      <c r="G62" s="60">
        <f t="shared" si="158"/>
        <v>0</v>
      </c>
      <c r="H62" s="60">
        <f t="shared" si="158"/>
        <v>0</v>
      </c>
      <c r="I62" s="60">
        <f t="shared" si="158"/>
        <v>0</v>
      </c>
      <c r="J62" s="60">
        <f>SUM(C62:I62)</f>
        <v>0</v>
      </c>
      <c r="K62" s="60"/>
      <c r="L62" s="60">
        <f t="shared" ref="L62:R62" si="159">IF(L61="Matin",1,IF(L61="AM",1,0))</f>
        <v>0</v>
      </c>
      <c r="M62" s="60">
        <f t="shared" si="159"/>
        <v>0</v>
      </c>
      <c r="N62" s="60">
        <f t="shared" si="159"/>
        <v>0</v>
      </c>
      <c r="O62" s="60">
        <f t="shared" si="159"/>
        <v>0</v>
      </c>
      <c r="P62" s="60">
        <f t="shared" si="159"/>
        <v>0</v>
      </c>
      <c r="Q62" s="60">
        <f t="shared" si="159"/>
        <v>0</v>
      </c>
      <c r="R62" s="60">
        <f t="shared" si="159"/>
        <v>0</v>
      </c>
      <c r="S62" s="60">
        <f>SUM(L62:R62)</f>
        <v>0</v>
      </c>
      <c r="T62" s="60"/>
      <c r="U62" s="60">
        <f t="shared" ref="U62:AA62" si="160">IF(U61="Matin",1,IF(U61="AM",1,0))</f>
        <v>0</v>
      </c>
      <c r="V62" s="60">
        <f t="shared" si="160"/>
        <v>0</v>
      </c>
      <c r="W62" s="60">
        <f t="shared" si="160"/>
        <v>0</v>
      </c>
      <c r="X62" s="60">
        <f t="shared" si="160"/>
        <v>0</v>
      </c>
      <c r="Y62" s="60">
        <f t="shared" si="160"/>
        <v>0</v>
      </c>
      <c r="Z62" s="60">
        <f t="shared" si="160"/>
        <v>0</v>
      </c>
      <c r="AA62" s="60">
        <f t="shared" si="160"/>
        <v>0</v>
      </c>
      <c r="AB62" s="60">
        <f>SUM(U62:AA62)</f>
        <v>0</v>
      </c>
      <c r="AC62" s="60"/>
      <c r="AD62" s="60">
        <f t="shared" ref="AD62:AJ62" si="161">IF(AD61="Matin",1,IF(AD61="AM",1,0))</f>
        <v>0</v>
      </c>
      <c r="AE62" s="60">
        <f t="shared" si="161"/>
        <v>0</v>
      </c>
      <c r="AF62" s="60">
        <f t="shared" si="161"/>
        <v>0</v>
      </c>
      <c r="AG62" s="60">
        <f t="shared" si="161"/>
        <v>0</v>
      </c>
      <c r="AH62" s="60">
        <f t="shared" si="161"/>
        <v>0</v>
      </c>
      <c r="AI62" s="60">
        <f t="shared" si="161"/>
        <v>0</v>
      </c>
      <c r="AJ62" s="60">
        <f t="shared" si="161"/>
        <v>0</v>
      </c>
      <c r="AK62" s="60">
        <f>SUM(AD62:AJ62)</f>
        <v>0</v>
      </c>
      <c r="AL62" s="60"/>
      <c r="AM62" s="60">
        <f t="shared" ref="AM62:AS62" si="162">IF(AM61="Matin",1,IF(AM61="AM",1,0))</f>
        <v>0</v>
      </c>
      <c r="AN62" s="60">
        <f t="shared" si="162"/>
        <v>0</v>
      </c>
      <c r="AO62" s="60">
        <f t="shared" si="162"/>
        <v>0</v>
      </c>
      <c r="AP62" s="60">
        <f t="shared" si="162"/>
        <v>0</v>
      </c>
      <c r="AQ62" s="60">
        <f t="shared" si="162"/>
        <v>0</v>
      </c>
      <c r="AR62" s="60">
        <f t="shared" si="162"/>
        <v>0</v>
      </c>
      <c r="AS62" s="60">
        <f t="shared" si="162"/>
        <v>0</v>
      </c>
      <c r="AT62" s="60">
        <f>SUM(AM62:AS62)</f>
        <v>0</v>
      </c>
      <c r="AU62" s="60"/>
      <c r="AV62" s="60">
        <f t="shared" ref="AV62:AW62" si="163">IF(AV61="Matin",1,IF(AV61="AM",1,0))</f>
        <v>1</v>
      </c>
      <c r="AW62" s="60">
        <f t="shared" si="163"/>
        <v>0</v>
      </c>
      <c r="AX62" s="60">
        <f t="shared" ref="AX62:AX69" si="164">SUM(AV62:AW62)</f>
        <v>1</v>
      </c>
      <c r="AY62" s="60">
        <f>J62+S62+AB62+AK62+AT62+AX62</f>
        <v>1</v>
      </c>
      <c r="AZ62" s="52"/>
      <c r="BA62" s="52"/>
      <c r="BB62" s="52"/>
      <c r="BC62" s="52"/>
      <c r="BD62" s="52"/>
      <c r="BE62" s="52"/>
      <c r="BF62" s="35"/>
    </row>
    <row r="63" spans="1:58" s="8" customFormat="1" ht="15" customHeight="1" x14ac:dyDescent="0.25">
      <c r="A63" s="21" t="s">
        <v>4</v>
      </c>
      <c r="B63" s="81"/>
      <c r="C63" s="60">
        <f>IF(C64&gt;=1,1,0)</f>
        <v>0</v>
      </c>
      <c r="D63" s="60">
        <f>IF(D64&gt;=1,1,0)</f>
        <v>0</v>
      </c>
      <c r="E63" s="60">
        <f t="shared" ref="E63:I63" si="165">IF(E64&gt;=1,1,0)</f>
        <v>0</v>
      </c>
      <c r="F63" s="60">
        <f t="shared" si="165"/>
        <v>0</v>
      </c>
      <c r="G63" s="60">
        <f t="shared" si="165"/>
        <v>0</v>
      </c>
      <c r="H63" s="60">
        <f t="shared" si="165"/>
        <v>0</v>
      </c>
      <c r="I63" s="60">
        <f t="shared" si="165"/>
        <v>0</v>
      </c>
      <c r="J63" s="60">
        <f t="shared" ref="J63:J73" si="166">SUM(C63:I63)</f>
        <v>0</v>
      </c>
      <c r="K63" s="60"/>
      <c r="L63" s="60">
        <f>IF(L64&gt;=1,1,0)</f>
        <v>0</v>
      </c>
      <c r="M63" s="60">
        <f t="shared" ref="M63:R63" si="167">IF(M64&gt;=1,1,0)</f>
        <v>0</v>
      </c>
      <c r="N63" s="60">
        <f t="shared" si="167"/>
        <v>0</v>
      </c>
      <c r="O63" s="60">
        <f t="shared" si="167"/>
        <v>0</v>
      </c>
      <c r="P63" s="60">
        <f t="shared" si="167"/>
        <v>0</v>
      </c>
      <c r="Q63" s="60">
        <f t="shared" si="167"/>
        <v>0</v>
      </c>
      <c r="R63" s="60">
        <f t="shared" si="167"/>
        <v>0</v>
      </c>
      <c r="S63" s="60">
        <f t="shared" ref="S63:S73" si="168">SUM(L63:R63)</f>
        <v>0</v>
      </c>
      <c r="T63" s="60"/>
      <c r="U63" s="60">
        <f>IF(U64&gt;=1,1,0)</f>
        <v>0</v>
      </c>
      <c r="V63" s="60">
        <f t="shared" ref="V63:AA63" si="169">IF(V64&gt;=1,1,0)</f>
        <v>0</v>
      </c>
      <c r="W63" s="60">
        <f t="shared" si="169"/>
        <v>0</v>
      </c>
      <c r="X63" s="60">
        <f t="shared" si="169"/>
        <v>0</v>
      </c>
      <c r="Y63" s="60">
        <f t="shared" si="169"/>
        <v>0</v>
      </c>
      <c r="Z63" s="60">
        <f t="shared" si="169"/>
        <v>0</v>
      </c>
      <c r="AA63" s="60">
        <f t="shared" si="169"/>
        <v>0</v>
      </c>
      <c r="AB63" s="60">
        <f t="shared" ref="AB63:AB73" si="170">SUM(U63:AA63)</f>
        <v>0</v>
      </c>
      <c r="AC63" s="60"/>
      <c r="AD63" s="60">
        <f>IF(AD64&gt;=1,1,0)</f>
        <v>0</v>
      </c>
      <c r="AE63" s="60">
        <f t="shared" ref="AE63:AJ63" si="171">IF(AE64&gt;=1,1,0)</f>
        <v>0</v>
      </c>
      <c r="AF63" s="60">
        <f t="shared" si="171"/>
        <v>0</v>
      </c>
      <c r="AG63" s="60">
        <f t="shared" si="171"/>
        <v>0</v>
      </c>
      <c r="AH63" s="60">
        <f t="shared" si="171"/>
        <v>0</v>
      </c>
      <c r="AI63" s="60">
        <f t="shared" si="171"/>
        <v>0</v>
      </c>
      <c r="AJ63" s="60">
        <f t="shared" si="171"/>
        <v>0</v>
      </c>
      <c r="AK63" s="60">
        <f t="shared" ref="AK63:AK73" si="172">SUM(AD63:AJ63)</f>
        <v>0</v>
      </c>
      <c r="AL63" s="60"/>
      <c r="AM63" s="60">
        <f>IF(AM64&gt;=1,1,0)</f>
        <v>0</v>
      </c>
      <c r="AN63" s="60">
        <f t="shared" ref="AN63:AS63" si="173">IF(AN64&gt;=1,1,0)</f>
        <v>0</v>
      </c>
      <c r="AO63" s="60">
        <f t="shared" si="173"/>
        <v>0</v>
      </c>
      <c r="AP63" s="60">
        <f t="shared" si="173"/>
        <v>0</v>
      </c>
      <c r="AQ63" s="60">
        <f t="shared" si="173"/>
        <v>0</v>
      </c>
      <c r="AR63" s="60">
        <f t="shared" si="173"/>
        <v>0</v>
      </c>
      <c r="AS63" s="60">
        <f t="shared" si="173"/>
        <v>0</v>
      </c>
      <c r="AT63" s="60">
        <f t="shared" ref="AT63:AT73" si="174">SUM(AM63:AS63)</f>
        <v>0</v>
      </c>
      <c r="AU63" s="60"/>
      <c r="AV63" s="60">
        <f>IF(AV64&gt;=1,1,0)</f>
        <v>1</v>
      </c>
      <c r="AW63" s="60">
        <f t="shared" ref="AW63" si="175">IF(AW64&gt;=1,1,0)</f>
        <v>0</v>
      </c>
      <c r="AX63" s="60">
        <f t="shared" si="164"/>
        <v>1</v>
      </c>
      <c r="AY63" s="60">
        <f t="shared" ref="AY63:AY72" si="176">J63+S63+AB63+AK63+AT63+AX63</f>
        <v>1</v>
      </c>
      <c r="AZ63" s="52"/>
      <c r="BA63" s="52"/>
      <c r="BB63" s="52"/>
      <c r="BC63" s="52"/>
      <c r="BD63" s="52"/>
      <c r="BE63" s="52"/>
      <c r="BF63" s="35"/>
    </row>
    <row r="64" spans="1:58" s="8" customFormat="1" ht="15" customHeight="1" x14ac:dyDescent="0.25">
      <c r="A64" s="21" t="s">
        <v>3</v>
      </c>
      <c r="B64" s="81"/>
      <c r="C64" s="60">
        <f>IF(C61="Matin",8,IF(C61="AM",8,IF(C61="nuit",8,0)))</f>
        <v>0</v>
      </c>
      <c r="D64" s="60">
        <f t="shared" ref="D64:I64" si="177">IF(D61="Matin",8,IF(D61="AM",8,IF(D61="nuit",8,0)))</f>
        <v>0</v>
      </c>
      <c r="E64" s="60">
        <f t="shared" si="177"/>
        <v>0</v>
      </c>
      <c r="F64" s="60">
        <f t="shared" si="177"/>
        <v>0</v>
      </c>
      <c r="G64" s="60">
        <f t="shared" si="177"/>
        <v>0</v>
      </c>
      <c r="H64" s="60">
        <f t="shared" si="177"/>
        <v>0</v>
      </c>
      <c r="I64" s="60">
        <f t="shared" si="177"/>
        <v>0</v>
      </c>
      <c r="J64" s="60">
        <f t="shared" si="166"/>
        <v>0</v>
      </c>
      <c r="K64" s="60"/>
      <c r="L64" s="60">
        <f>IF(L61="Matin",8,IF(L61="AM",8,IF(L61="nuit",8,0)))</f>
        <v>0</v>
      </c>
      <c r="M64" s="60">
        <f t="shared" ref="M64:R64" si="178">IF(M61="Matin",8,IF(M61="AM",8,IF(M61="nuit",8,0)))</f>
        <v>0</v>
      </c>
      <c r="N64" s="60">
        <f t="shared" si="178"/>
        <v>0</v>
      </c>
      <c r="O64" s="60">
        <f t="shared" si="178"/>
        <v>0</v>
      </c>
      <c r="P64" s="60">
        <f t="shared" si="178"/>
        <v>0</v>
      </c>
      <c r="Q64" s="60">
        <f t="shared" si="178"/>
        <v>0</v>
      </c>
      <c r="R64" s="60">
        <f t="shared" si="178"/>
        <v>0</v>
      </c>
      <c r="S64" s="60">
        <f t="shared" si="168"/>
        <v>0</v>
      </c>
      <c r="T64" s="60"/>
      <c r="U64" s="60">
        <f>IF(U61="Matin",8,IF(U61="AM",8,IF(U61="nuit",8,0)))</f>
        <v>0</v>
      </c>
      <c r="V64" s="60">
        <f t="shared" ref="V64:AA64" si="179">IF(V61="Matin",8,IF(V61="AM",8,IF(V61="nuit",8,0)))</f>
        <v>0</v>
      </c>
      <c r="W64" s="60">
        <f t="shared" si="179"/>
        <v>0</v>
      </c>
      <c r="X64" s="60">
        <f t="shared" si="179"/>
        <v>0</v>
      </c>
      <c r="Y64" s="60">
        <f t="shared" si="179"/>
        <v>0</v>
      </c>
      <c r="Z64" s="60">
        <f t="shared" si="179"/>
        <v>0</v>
      </c>
      <c r="AA64" s="60">
        <f t="shared" si="179"/>
        <v>0</v>
      </c>
      <c r="AB64" s="60">
        <f t="shared" si="170"/>
        <v>0</v>
      </c>
      <c r="AC64" s="60"/>
      <c r="AD64" s="60">
        <f>IF(AD61="Matin",8,IF(AD61="AM",8,IF(AD61="nuit",8,0)))</f>
        <v>0</v>
      </c>
      <c r="AE64" s="60">
        <f t="shared" ref="AE64:AJ64" si="180">IF(AE61="Matin",8,IF(AE61="AM",8,IF(AE61="nuit",8,0)))</f>
        <v>0</v>
      </c>
      <c r="AF64" s="60">
        <f t="shared" si="180"/>
        <v>0</v>
      </c>
      <c r="AG64" s="60">
        <f t="shared" si="180"/>
        <v>0</v>
      </c>
      <c r="AH64" s="60">
        <f t="shared" si="180"/>
        <v>0</v>
      </c>
      <c r="AI64" s="60">
        <f t="shared" si="180"/>
        <v>0</v>
      </c>
      <c r="AJ64" s="60">
        <f t="shared" si="180"/>
        <v>0</v>
      </c>
      <c r="AK64" s="60">
        <f t="shared" si="172"/>
        <v>0</v>
      </c>
      <c r="AL64" s="60"/>
      <c r="AM64" s="60">
        <f>IF(AM61="Matin",8,IF(AM61="AM",8,IF(AM61="nuit",8,0)))</f>
        <v>0</v>
      </c>
      <c r="AN64" s="60">
        <f t="shared" ref="AN64:AS64" si="181">IF(AN61="Matin",8,IF(AN61="AM",8,IF(AN61="nuit",8,0)))</f>
        <v>0</v>
      </c>
      <c r="AO64" s="60">
        <f t="shared" si="181"/>
        <v>0</v>
      </c>
      <c r="AP64" s="60">
        <f t="shared" si="181"/>
        <v>0</v>
      </c>
      <c r="AQ64" s="60">
        <f t="shared" si="181"/>
        <v>0</v>
      </c>
      <c r="AR64" s="60">
        <f t="shared" si="181"/>
        <v>0</v>
      </c>
      <c r="AS64" s="60">
        <f t="shared" si="181"/>
        <v>0</v>
      </c>
      <c r="AT64" s="60">
        <f t="shared" si="174"/>
        <v>0</v>
      </c>
      <c r="AU64" s="60"/>
      <c r="AV64" s="60">
        <f>IF(AV61="Matin",8,IF(AV61="AM",8,IF(AV61="nuit",8,0)))</f>
        <v>8</v>
      </c>
      <c r="AW64" s="60">
        <f t="shared" ref="AW64" si="182">IF(AW61="Matin",8,IF(AW61="AM",8,IF(AW61="nuit",8,0)))</f>
        <v>0</v>
      </c>
      <c r="AX64" s="60">
        <f t="shared" si="164"/>
        <v>8</v>
      </c>
      <c r="AY64" s="60">
        <f t="shared" si="176"/>
        <v>8</v>
      </c>
      <c r="AZ64" s="53"/>
      <c r="BA64" s="53"/>
      <c r="BB64" s="53"/>
      <c r="BC64" s="53"/>
      <c r="BD64" s="42"/>
      <c r="BE64" s="42"/>
      <c r="BF64" s="32"/>
    </row>
    <row r="65" spans="1:58" s="7" customFormat="1" ht="15" customHeight="1" x14ac:dyDescent="0.25">
      <c r="A65" s="36" t="s">
        <v>20</v>
      </c>
      <c r="B65" s="82"/>
      <c r="C65" s="66">
        <f>IF(C59&lt;&gt;"Dim",IF(C64&gt;32,MIN(C64,35)-32,0),0)</f>
        <v>0</v>
      </c>
      <c r="D65" s="66">
        <f>IF(D59&lt;&gt;"Dim",IF(SUM($C64:D64)&gt;32,MIN(SUM($C64:D64),35)-32-SUM($C65:C65),0),0)</f>
        <v>0</v>
      </c>
      <c r="E65" s="66">
        <f>IF(E59&lt;&gt;"Dim",IF(SUM($C64:E64)&gt;32,MIN(SUM($C64:E64),35)-32-SUM($C65:D65),0),0)</f>
        <v>0</v>
      </c>
      <c r="F65" s="66">
        <f>IF(F59&lt;&gt;"Dim",IF(SUM($C64:F64)&gt;32,MIN(SUM($C64:F64),35)-32-SUM($C65:E65),0),0)</f>
        <v>0</v>
      </c>
      <c r="G65" s="66">
        <f>IF(G59&lt;&gt;"Dim",IF(SUM($C64:G64)&gt;32,MIN(SUM($C64:G64),35)-32-SUM($C65:F65),0),0)</f>
        <v>0</v>
      </c>
      <c r="H65" s="66">
        <f>IF(H59&lt;&gt;"Dim",IF(SUM($C64:H64)&gt;32,MIN(SUM($C64:H64),35)-32-SUM($C65:G65),0),0)</f>
        <v>0</v>
      </c>
      <c r="I65" s="66">
        <f>IF(I59&lt;&gt;"Dim",IF(SUM($C64:I64)&gt;32,MIN(SUM($C64:I64),35)-32-SUM($C65:H65),0),0)</f>
        <v>0</v>
      </c>
      <c r="J65" s="60">
        <f t="shared" si="166"/>
        <v>0</v>
      </c>
      <c r="K65" s="60"/>
      <c r="L65" s="66">
        <f>IF(L59&lt;&gt;"Dim",IF(L64&gt;32,MIN(L64,35)-32,0),0)</f>
        <v>0</v>
      </c>
      <c r="M65" s="66">
        <f>IF(M59&lt;&gt;"Dim",IF(SUM($L64:M64)&gt;32,MIN(SUM($L64:M64),35)-32-SUM($L65:L65),0),0)</f>
        <v>0</v>
      </c>
      <c r="N65" s="66">
        <f>IF(N59&lt;&gt;"Dim",IF(SUM($L64:N64)&gt;32,MIN(SUM($L64:N64),35)-32-SUM($L65:M65),0),0)</f>
        <v>0</v>
      </c>
      <c r="O65" s="66">
        <f>IF(O59&lt;&gt;"Dim",IF(SUM($L64:O64)&gt;32,MIN(SUM($L64:O64),35)-32-SUM($L65:N65),0),0)</f>
        <v>0</v>
      </c>
      <c r="P65" s="66">
        <f>IF(P59&lt;&gt;"Dim",IF(SUM($L64:P64)&gt;32,MIN(SUM($L64:P64),35)-32-SUM($L65:O65),0),0)</f>
        <v>0</v>
      </c>
      <c r="Q65" s="66">
        <f>IF(Q59&lt;&gt;"Dim",IF(SUM($L64:Q64)&gt;32,MIN(SUM($L64:Q64),35)-32-SUM($L65:P65),0),0)</f>
        <v>0</v>
      </c>
      <c r="R65" s="66">
        <f>IF(R59&lt;&gt;"Dim",IF(SUM($L64:R64)&gt;32,MIN(SUM($L64:R64),35)-32-SUM($L65:Q65),0),0)</f>
        <v>0</v>
      </c>
      <c r="S65" s="60">
        <f t="shared" si="168"/>
        <v>0</v>
      </c>
      <c r="T65" s="60"/>
      <c r="U65" s="66">
        <f>IF(U59&lt;&gt;"Dim",IF(U64&gt;32,MIN(U64,35)-32,0),0)</f>
        <v>0</v>
      </c>
      <c r="V65" s="66">
        <f>IF(V59&lt;&gt;"Dim",IF(SUM($U64:V64)&gt;32,MIN(SUM($U64:V64),35)-32-SUM($U65:U65),0),0)</f>
        <v>0</v>
      </c>
      <c r="W65" s="66">
        <f>IF(W59&lt;&gt;"Dim",IF(SUM($U64:W64)&gt;32,MIN(SUM($U64:W64),35)-32-SUM($U65:V65),0),0)</f>
        <v>0</v>
      </c>
      <c r="X65" s="66">
        <f>IF(X59&lt;&gt;"Dim",IF(SUM($U64:X64)&gt;32,MIN(SUM($U64:X64),35)-32-SUM($U65:W65),0),0)</f>
        <v>0</v>
      </c>
      <c r="Y65" s="66">
        <f>IF(Y59&lt;&gt;"Dim",IF(SUM($U64:Y64)&gt;32,MIN(SUM($U64:Y64),35)-32-SUM($U65:X65),0),0)</f>
        <v>0</v>
      </c>
      <c r="Z65" s="66">
        <f>IF(Z59&lt;&gt;"Dim",IF(SUM($U64:Z64)&gt;32,MIN(SUM($U64:Z64),35)-32-SUM($U65:Y65),0),0)</f>
        <v>0</v>
      </c>
      <c r="AA65" s="66">
        <f>IF(AA59&lt;&gt;"Dim",IF(SUM($U64:AA64)&gt;32,MIN(SUM($U64:AA64),35)-32-SUM($U65:Z65),0),0)</f>
        <v>0</v>
      </c>
      <c r="AB65" s="60">
        <f t="shared" si="170"/>
        <v>0</v>
      </c>
      <c r="AC65" s="60"/>
      <c r="AD65" s="66">
        <f>IF(AD59&lt;&gt;"Dim",IF(AD64&gt;32,MIN(AD64,35)-32,0),0)</f>
        <v>0</v>
      </c>
      <c r="AE65" s="66">
        <f>IF(AE59&lt;&gt;"Dim",IF(SUM($AD64:AE64)&gt;32,MIN(SUM($AD64:AE64),35)-32-SUM($AD65:AD65),0),0)</f>
        <v>0</v>
      </c>
      <c r="AF65" s="66">
        <f>IF(AF59&lt;&gt;"Dim",IF(SUM($AD64:AF64)&gt;32,MIN(SUM($AD64:AF64),35)-32-SUM($AD65:AE65),0),0)</f>
        <v>0</v>
      </c>
      <c r="AG65" s="66">
        <f>IF(AG59&lt;&gt;"Dim",IF(SUM($AD64:AG64)&gt;32,MIN(SUM($AD64:AG64),35)-32-SUM($AD65:AF65),0),0)</f>
        <v>0</v>
      </c>
      <c r="AH65" s="66">
        <f>IF(AH59&lt;&gt;"Dim",IF(SUM($AD64:AH64)&gt;32,MIN(SUM($AD64:AH64),35)-32-SUM($AD65:AG65),0),0)</f>
        <v>0</v>
      </c>
      <c r="AI65" s="66">
        <f>IF(AI59&lt;&gt;"Dim",IF(SUM($AD64:AI64)&gt;32,MIN(SUM($AD64:AI64),35)-32-SUM($AD65:AH65),0),0)</f>
        <v>0</v>
      </c>
      <c r="AJ65" s="66">
        <f>IF(AJ59&lt;&gt;"Dim",IF(SUM($AD64:AJ64)&gt;32,MIN(SUM($AD64:AJ64),35)-32-SUM($AD65:AI65),0),0)</f>
        <v>0</v>
      </c>
      <c r="AK65" s="60">
        <f t="shared" si="172"/>
        <v>0</v>
      </c>
      <c r="AL65" s="60"/>
      <c r="AM65" s="66">
        <f>IF(AM59&lt;&gt;"Dim",IF(AM64&gt;32,MIN(AM64,35)-32,0),0)</f>
        <v>0</v>
      </c>
      <c r="AN65" s="66">
        <f>IF(AN59&lt;&gt;"Dim",IF(SUM($AM64:AN64)&gt;32,MIN(SUM($AM64:AN64),35)-32-SUM($AM65:AM65),0),0)</f>
        <v>0</v>
      </c>
      <c r="AO65" s="66">
        <f>IF(AO59&lt;&gt;"Dim",IF(SUM($AM64:AO64)&gt;32,MIN(SUM($AM64:AO64),35)-32-SUM($AM65:AN65),0),0)</f>
        <v>0</v>
      </c>
      <c r="AP65" s="66">
        <f>IF(AP59&lt;&gt;"Dim",IF(SUM($AM64:AP64)&gt;32,MIN(SUM($AM64:AP64),35)-32-SUM($AM65:AO65),0),0)</f>
        <v>0</v>
      </c>
      <c r="AQ65" s="66">
        <f>IF(AQ59&lt;&gt;"Dim",IF(SUM($AM64:AQ64)&gt;32,MIN(SUM($AM64:AQ64),35)-32-SUM($AM65:AP65),0),0)</f>
        <v>0</v>
      </c>
      <c r="AR65" s="66">
        <f>IF(AR59&lt;&gt;"Dim",IF(SUM($AM64:AR64)&gt;32,MIN(SUM($AM64:AR64),35)-32-SUM($AM65:AQ65),0),0)</f>
        <v>0</v>
      </c>
      <c r="AS65" s="66">
        <f>IF(AS59&lt;&gt;"Dim",IF(SUM($AM64:AS64)&gt;32,MIN(SUM($AM64:AS64),35)-32-SUM($AM65:AR65),0),0)</f>
        <v>0</v>
      </c>
      <c r="AT65" s="60">
        <f t="shared" si="174"/>
        <v>0</v>
      </c>
      <c r="AU65" s="60"/>
      <c r="AV65" s="66">
        <f>IF(AV59&lt;&gt;"Dim",IF(AV64&gt;32,MIN(AV64,35)-32,0),0)</f>
        <v>0</v>
      </c>
      <c r="AW65" s="66">
        <f>IF(AW59&lt;&gt;"Dim",IF(SUM($AV64:AW64)&gt;32,MIN(SUM($AV64:AW64),35)-32-SUM($AV65:AV65),0),0)</f>
        <v>0</v>
      </c>
      <c r="AX65" s="60">
        <f t="shared" si="164"/>
        <v>0</v>
      </c>
      <c r="AY65" s="60">
        <f t="shared" si="176"/>
        <v>0</v>
      </c>
      <c r="AZ65" s="40"/>
      <c r="BA65" s="40"/>
      <c r="BB65" s="40"/>
      <c r="BC65" s="40"/>
      <c r="BD65" s="40"/>
      <c r="BE65" s="40"/>
      <c r="BF65" s="29"/>
    </row>
    <row r="66" spans="1:58" s="7" customFormat="1" ht="15" customHeight="1" x14ac:dyDescent="0.25">
      <c r="A66" s="21" t="s">
        <v>6</v>
      </c>
      <c r="B66" s="81"/>
      <c r="C66" s="66">
        <f>IF(C59&lt;&gt;"Dim",IF(C64&gt;35,(MIN(C64,43)-35),0),0)</f>
        <v>0</v>
      </c>
      <c r="D66" s="66">
        <f>IF(D59&lt;&gt;"Dim",IF(SUM($C64:D64)&gt;35,(MIN(SUM($C64:D64),43)-35-SUM($C66:C66)),0),0)</f>
        <v>0</v>
      </c>
      <c r="E66" s="66">
        <f>IF(E59&lt;&gt;"Dim",IF(SUM($C64:E64)&gt;35,(MIN(SUM($C64:E64),43)-35-SUM($C66:D66)),0),0)</f>
        <v>0</v>
      </c>
      <c r="F66" s="66">
        <f>IF(F59&lt;&gt;"Dim",IF(SUM($C64:F64)&gt;35,(MIN(SUM($C64:F64),43)-35-SUM($C66:E66)),0),0)</f>
        <v>0</v>
      </c>
      <c r="G66" s="66">
        <f>IF(G59&lt;&gt;"Dim",IF(SUM($C64:G64)&gt;35,(MIN(SUM($C64:G64),43)-35-SUM($C66:F66)),0),0)</f>
        <v>0</v>
      </c>
      <c r="H66" s="66">
        <f>IF(H59&lt;&gt;"Dim",IF(SUM($C64:H64)&gt;35,(MIN(SUM($C64:H64),43)-35-SUM($C66:G66)),0),0)</f>
        <v>0</v>
      </c>
      <c r="I66" s="66">
        <f>IF(I59&lt;&gt;"Dim",IF(SUM($C64:I64)&gt;35,(MIN(SUM($C64:I64),43)-35-SUM($C66:H66)),0),0)</f>
        <v>0</v>
      </c>
      <c r="J66" s="60">
        <f t="shared" si="166"/>
        <v>0</v>
      </c>
      <c r="K66" s="60"/>
      <c r="L66" s="66">
        <f>IF(L59&lt;&gt;"Dim",IF(L64&gt;35,(MIN(L64,43)-35),0),0)</f>
        <v>0</v>
      </c>
      <c r="M66" s="66">
        <f>IF(M59&lt;&gt;"Dim",IF(SUM($L64:M64)&gt;35,(MIN(SUM($L64:M64),43)-35-SUM($L66:L66)),0),0)</f>
        <v>0</v>
      </c>
      <c r="N66" s="66">
        <f>IF(N59&lt;&gt;"Dim",IF(SUM($L64:N64)&gt;35,(MIN(SUM($L64:N64),43)-35-SUM($L66:M66)),0),0)</f>
        <v>0</v>
      </c>
      <c r="O66" s="66">
        <f>IF(O59&lt;&gt;"Dim",IF(SUM($L64:O64)&gt;35,(MIN(SUM($L64:O64),43)-35-SUM($L66:N66)),0),0)</f>
        <v>0</v>
      </c>
      <c r="P66" s="66">
        <f>IF(P59&lt;&gt;"Dim",IF(SUM($L64:P64)&gt;35,(MIN(SUM($L64:P64),43)-35-SUM($L66:O66)),0),0)</f>
        <v>0</v>
      </c>
      <c r="Q66" s="66">
        <f>IF(Q59&lt;&gt;"Dim",IF(SUM($L64:Q64)&gt;35,(MIN(SUM($L64:Q64),43)-35-SUM($L66:P66)),0),0)</f>
        <v>0</v>
      </c>
      <c r="R66" s="66">
        <f>IF(R59&lt;&gt;"Dim",IF(SUM($L64:R64)&gt;35,(MIN(SUM($L64:R64),43)-35-SUM($L66:Q66)),0),0)</f>
        <v>0</v>
      </c>
      <c r="S66" s="60">
        <f t="shared" si="168"/>
        <v>0</v>
      </c>
      <c r="T66" s="60"/>
      <c r="U66" s="66">
        <f>IF(U59&lt;&gt;"Dim",IF(U64&gt;35,(MIN(U64,43)-35),0),0)</f>
        <v>0</v>
      </c>
      <c r="V66" s="66">
        <f>IF(V59&lt;&gt;"Dim",IF(SUM($U64:V64)&gt;35,(MIN(SUM($U64:V64),43)-35-SUM($U66:U66)),0),0)</f>
        <v>0</v>
      </c>
      <c r="W66" s="66">
        <f>IF(W59&lt;&gt;"Dim",IF(SUM($U64:W64)&gt;35,(MIN(SUM($U64:W64),43)-35-SUM($U66:V66)),0),0)</f>
        <v>0</v>
      </c>
      <c r="X66" s="66">
        <f>IF(X59&lt;&gt;"Dim",IF(SUM($U64:X64)&gt;35,(MIN(SUM($U64:X64),43)-35-SUM($U66:W66)),0),0)</f>
        <v>0</v>
      </c>
      <c r="Y66" s="66">
        <f>IF(Y59&lt;&gt;"Dim",IF(SUM($U64:Y64)&gt;35,(MIN(SUM($U64:Y64),43)-35-SUM($U66:X66)),0),0)</f>
        <v>0</v>
      </c>
      <c r="Z66" s="66">
        <f>IF(Z59&lt;&gt;"Dim",IF(SUM($U64:Z64)&gt;35,(MIN(SUM($U64:Z64),43)-35-SUM($U66:Y66)),0),0)</f>
        <v>0</v>
      </c>
      <c r="AA66" s="66">
        <f>IF(AA59&lt;&gt;"Dim",IF(SUM($U64:AA64)&gt;35,(MIN(SUM($U64:AA64),43)-35-SUM($U66:Z66)),0),0)</f>
        <v>0</v>
      </c>
      <c r="AB66" s="60">
        <f t="shared" si="170"/>
        <v>0</v>
      </c>
      <c r="AC66" s="60"/>
      <c r="AD66" s="66">
        <f>IF(AD59&lt;&gt;"Dim",IF(AD64&gt;35,(MIN(AD64,43)-35),0),0)</f>
        <v>0</v>
      </c>
      <c r="AE66" s="66">
        <f>IF(AE59&lt;&gt;"Dim",IF(SUM($AD64:AE64)&gt;35,(MIN(SUM($AD64:AE64),43)-35-SUM($AD66:AD66)),0),0)</f>
        <v>0</v>
      </c>
      <c r="AF66" s="66">
        <f>IF(AF59&lt;&gt;"Dim",IF(SUM($AD64:AF64)&gt;35,(MIN(SUM($AD64:AF64),43)-35-SUM($AD66:AE66)),0),0)</f>
        <v>0</v>
      </c>
      <c r="AG66" s="66">
        <f>IF(AG59&lt;&gt;"Dim",IF(SUM($AD64:AG64)&gt;35,(MIN(SUM($AD64:AG64),43)-35-SUM($AD66:AF66)),0),0)</f>
        <v>0</v>
      </c>
      <c r="AH66" s="66">
        <f>IF(AH59&lt;&gt;"Dim",IF(SUM($AD64:AH64)&gt;35,(MIN(SUM($AD64:AH64),43)-35-SUM($AD66:AG66)),0),0)</f>
        <v>0</v>
      </c>
      <c r="AI66" s="66">
        <f>IF(AI59&lt;&gt;"Dim",IF(SUM($AD64:AI64)&gt;35,(MIN(SUM($AD64:AI64),43)-35-SUM($AD66:AH66)),0),0)</f>
        <v>0</v>
      </c>
      <c r="AJ66" s="66">
        <f>IF(AJ59&lt;&gt;"Dim",IF(SUM($AD64:AJ64)&gt;35,(MIN(SUM($AD64:AJ64),43)-35-SUM($AD66:AI66)),0),0)</f>
        <v>0</v>
      </c>
      <c r="AK66" s="60">
        <f t="shared" si="172"/>
        <v>0</v>
      </c>
      <c r="AL66" s="60"/>
      <c r="AM66" s="66">
        <f>IF(AM59&lt;&gt;"Dim",IF(AM64&gt;35,(MIN(AM64,43)-35),0),0)</f>
        <v>0</v>
      </c>
      <c r="AN66" s="66">
        <f>IF(AN59&lt;&gt;"Dim",IF(SUM($AM64:AN64)&gt;35,(MIN(SUM($AM64:AN64),43)-35-SUM($AM66:AM66)),0),0)</f>
        <v>0</v>
      </c>
      <c r="AO66" s="66">
        <f>IF(AO59&lt;&gt;"Dim",IF(SUM($AM64:AO64)&gt;35,(MIN(SUM($AM64:AO64),43)-35-SUM($AM66:AN66)),0),0)</f>
        <v>0</v>
      </c>
      <c r="AP66" s="66">
        <f>IF(AP59&lt;&gt;"Dim",IF(SUM($AM64:AP64)&gt;35,(MIN(SUM($AM64:AP64),43)-35-SUM($AM66:AO66)),0),0)</f>
        <v>0</v>
      </c>
      <c r="AQ66" s="66">
        <f>IF(AQ59&lt;&gt;"Dim",IF(SUM($AM64:AQ64)&gt;35,(MIN(SUM($AM64:AQ64),43)-35-SUM($AM66:AP66)),0),0)</f>
        <v>0</v>
      </c>
      <c r="AR66" s="66">
        <f>IF(AR59&lt;&gt;"Dim",IF(SUM($AM64:AR64)&gt;35,(MIN(SUM($AM64:AR64),43)-35-SUM($AM66:AQ66)),0),0)</f>
        <v>0</v>
      </c>
      <c r="AS66" s="66">
        <f>IF(AS59&lt;&gt;"Dim",IF(SUM($AM64:AS64)&gt;35,(MIN(SUM($AM64:AS64),43)-35-SUM($AM66:AR66)),0),0)</f>
        <v>0</v>
      </c>
      <c r="AT66" s="60">
        <f t="shared" si="174"/>
        <v>0</v>
      </c>
      <c r="AU66" s="60"/>
      <c r="AV66" s="66">
        <f>IF(AV59&lt;&gt;"Dim",IF(AV64&gt;35,(MIN(AV64,43)-35),0),0)</f>
        <v>0</v>
      </c>
      <c r="AW66" s="66">
        <f>IF(AW59&lt;&gt;"Dim",IF(SUM($AV64:AW64)&gt;35,(MIN(SUM($AV64:AW64),43)-35-SUM($AV66:AV66)),0),0)</f>
        <v>0</v>
      </c>
      <c r="AX66" s="60">
        <f t="shared" si="164"/>
        <v>0</v>
      </c>
      <c r="AY66" s="60">
        <f t="shared" si="176"/>
        <v>0</v>
      </c>
      <c r="AZ66" s="46"/>
      <c r="BA66" s="46"/>
      <c r="BB66" s="46"/>
      <c r="BC66" s="46"/>
      <c r="BD66" s="46"/>
      <c r="BE66" s="46"/>
      <c r="BF66" s="41"/>
    </row>
    <row r="67" spans="1:58" s="7" customFormat="1" ht="15" customHeight="1" x14ac:dyDescent="0.25">
      <c r="A67" s="21" t="s">
        <v>5</v>
      </c>
      <c r="B67" s="81"/>
      <c r="C67" s="66">
        <f>IF(C59&lt;&gt;"Dim",IF(C64&gt;43,(MIN(C64,48)-43),0),0)</f>
        <v>0</v>
      </c>
      <c r="D67" s="66">
        <f>IF(D59&lt;&gt;"Dim",IF(SUM($C64:D64)&gt;43,(MIN(SUM($C64:D64),48)-43-SUM($C67:C67)),0),0)</f>
        <v>0</v>
      </c>
      <c r="E67" s="66">
        <f>IF(E59&lt;&gt;"Dim",IF(SUM($C64:E64)&gt;43,(MIN(SUM($C64:E64),48)-43-SUM($C67:D67)),0),0)</f>
        <v>0</v>
      </c>
      <c r="F67" s="66">
        <f>IF(F59&lt;&gt;"Dim",IF(SUM($C64:F64)&gt;43,(MIN(SUM($C64:F64),48)-43-SUM($C67:E67)),0),0)</f>
        <v>0</v>
      </c>
      <c r="G67" s="66">
        <f>IF(G59&lt;&gt;"Dim",IF(SUM($C64:G64)&gt;43,(MIN(SUM($C64:G64),48)-43-SUM($C67:F67)),0),0)</f>
        <v>0</v>
      </c>
      <c r="H67" s="66">
        <f>IF(H59&lt;&gt;"Dim",IF(SUM($C64:H64)&gt;43,(MIN(SUM($C64:H64),48)-43-SUM($C67:G67)),0),0)</f>
        <v>0</v>
      </c>
      <c r="I67" s="66">
        <f>IF(I59&lt;&gt;"Dim",IF(SUM($C64:I64)&gt;43,(MIN(SUM($C64:I64),48)-43-SUM($C67:H67)),0),0)</f>
        <v>0</v>
      </c>
      <c r="J67" s="60">
        <f t="shared" si="166"/>
        <v>0</v>
      </c>
      <c r="K67" s="60"/>
      <c r="L67" s="66">
        <f>IF(L59&lt;&gt;"Dim",IF(L64&gt;43,(MIN(L64,48)-43),0),0)</f>
        <v>0</v>
      </c>
      <c r="M67" s="66">
        <f>IF(M59&lt;&gt;"Dim",IF(SUM($L64:M64)&gt;43,(MIN(SUM($L64:M64),48)-43-SUM($L67:L67)),0),0)</f>
        <v>0</v>
      </c>
      <c r="N67" s="66">
        <f>IF(N59&lt;&gt;"Dim",IF(SUM($L64:N64)&gt;43,(MIN(SUM($L64:N64),48)-43-SUM($L67:M67)),0),0)</f>
        <v>0</v>
      </c>
      <c r="O67" s="66">
        <f>IF(O59&lt;&gt;"Dim",IF(SUM($L64:O64)&gt;43,(MIN(SUM($L64:O64),48)-43-SUM($L67:N67)),0),0)</f>
        <v>0</v>
      </c>
      <c r="P67" s="66">
        <f>IF(P59&lt;&gt;"Dim",IF(SUM($L64:P64)&gt;43,(MIN(SUM($L64:P64),48)-43-SUM($L67:O67)),0),0)</f>
        <v>0</v>
      </c>
      <c r="Q67" s="66">
        <f>IF(Q59&lt;&gt;"Dim",IF(SUM($L64:Q64)&gt;43,(MIN(SUM($L64:Q64),48)-43-SUM($L67:P67)),0),0)</f>
        <v>0</v>
      </c>
      <c r="R67" s="66">
        <f>IF(R59&lt;&gt;"Dim",IF(SUM($L64:R64)&gt;43,(MIN(SUM($L64:R64),48)-43-SUM($L67:Q67)),0),0)</f>
        <v>0</v>
      </c>
      <c r="S67" s="60">
        <f t="shared" si="168"/>
        <v>0</v>
      </c>
      <c r="T67" s="60"/>
      <c r="U67" s="66">
        <f>IF(U59&lt;&gt;"Dim",IF(U64&gt;43,(MIN(U64,48)-43),0),0)</f>
        <v>0</v>
      </c>
      <c r="V67" s="66">
        <f>IF(V59&lt;&gt;"Dim",IF(SUM($U64:V64)&gt;43,(MIN(SUM($U64:V64),48)-43-SUM($U67:U67)),0),0)</f>
        <v>0</v>
      </c>
      <c r="W67" s="66">
        <f>IF(W59&lt;&gt;"Dim",IF(SUM($U64:W64)&gt;43,(MIN(SUM($U64:W64),48)-43-SUM($U67:V67)),0),0)</f>
        <v>0</v>
      </c>
      <c r="X67" s="66">
        <f>IF(X59&lt;&gt;"Dim",IF(SUM($U64:X64)&gt;43,(MIN(SUM($U64:X64),48)-43-SUM($U67:W67)),0),0)</f>
        <v>0</v>
      </c>
      <c r="Y67" s="66">
        <f>IF(Y59&lt;&gt;"Dim",IF(SUM($U64:Y64)&gt;43,(MIN(SUM($U64:Y64),48)-43-SUM($U67:X67)),0),0)</f>
        <v>0</v>
      </c>
      <c r="Z67" s="66">
        <f>IF(Z59&lt;&gt;"Dim",IF(SUM($U64:Z64)&gt;43,(MIN(SUM($U64:Z64),48)-43-SUM($U67:Y67)),0),0)</f>
        <v>0</v>
      </c>
      <c r="AA67" s="66">
        <f>IF(AA59&lt;&gt;"Dim",IF(SUM($U64:AA64)&gt;43,(MIN(SUM($U64:AA64),48)-43-SUM($U67:Z67)),0),0)</f>
        <v>0</v>
      </c>
      <c r="AB67" s="60">
        <f t="shared" si="170"/>
        <v>0</v>
      </c>
      <c r="AC67" s="60"/>
      <c r="AD67" s="66">
        <f>IF(AD59&lt;&gt;"Dim",IF(AD64&gt;43,(MIN(AD64,48)-43),0),0)</f>
        <v>0</v>
      </c>
      <c r="AE67" s="66">
        <f>IF(AE59&lt;&gt;"Dim",IF(SUM($AD64:AE64)&gt;43,(MIN(SUM($AD64:AE64),48)-43-SUM($AD67:AD67)),0),0)</f>
        <v>0</v>
      </c>
      <c r="AF67" s="66">
        <f>IF(AF59&lt;&gt;"Dim",IF(SUM($AD64:AF64)&gt;43,(MIN(SUM($AD64:AF64),48)-43-SUM($AD67:AE67)),0),0)</f>
        <v>0</v>
      </c>
      <c r="AG67" s="66">
        <f>IF(AG59&lt;&gt;"Dim",IF(SUM($AD64:AG64)&gt;43,(MIN(SUM($AD64:AG64),48)-43-SUM($AD67:AF67)),0),0)</f>
        <v>0</v>
      </c>
      <c r="AH67" s="66">
        <f>IF(AH59&lt;&gt;"Dim",IF(SUM($AD64:AH64)&gt;43,(MIN(SUM($AD64:AH64),48)-43-SUM($AD67:AG67)),0),0)</f>
        <v>0</v>
      </c>
      <c r="AI67" s="66">
        <f>IF(AI59&lt;&gt;"Dim",IF(SUM($AD64:AI64)&gt;43,(MIN(SUM($AD64:AI64),48)-43-SUM($AD67:AH67)),0),0)</f>
        <v>0</v>
      </c>
      <c r="AJ67" s="66">
        <f>IF(AJ59&lt;&gt;"Dim",IF(SUM($AD64:AJ64)&gt;43,(MIN(SUM($AD64:AJ64),48)-43-SUM($AD67:AI67)),0),0)</f>
        <v>0</v>
      </c>
      <c r="AK67" s="60">
        <f t="shared" si="172"/>
        <v>0</v>
      </c>
      <c r="AL67" s="60"/>
      <c r="AM67" s="66">
        <f>IF(AM59&lt;&gt;"Dim",IF(AM64&gt;43,(MIN(AM64,48)-43),0),0)</f>
        <v>0</v>
      </c>
      <c r="AN67" s="66">
        <f>IF(AN59&lt;&gt;"Dim",IF(SUM($AM64:AN64)&gt;43,(MIN(SUM($AM64:AN64),48)-43-SUM($AM67:AM67)),0),0)</f>
        <v>0</v>
      </c>
      <c r="AO67" s="66">
        <f>IF(AO59&lt;&gt;"Dim",IF(SUM($AM64:AO64)&gt;43,(MIN(SUM($AM64:AO64),48)-43-SUM($AM67:AN67)),0),0)</f>
        <v>0</v>
      </c>
      <c r="AP67" s="66">
        <f>IF(AP59&lt;&gt;"Dim",IF(SUM($AM64:AP64)&gt;43,(MIN(SUM($AM64:AP64),48)-43-SUM($AM67:AO67)),0),0)</f>
        <v>0</v>
      </c>
      <c r="AQ67" s="66">
        <f>IF(AQ59&lt;&gt;"Dim",IF(SUM($AM64:AQ64)&gt;43,(MIN(SUM($AM64:AQ64),48)-43-SUM($AM67:AP67)),0),0)</f>
        <v>0</v>
      </c>
      <c r="AR67" s="66">
        <f>IF(AR59&lt;&gt;"Dim",IF(SUM($AM64:AR64)&gt;43,(MIN(SUM($AM64:AR64),48)-43-SUM($AM67:AQ67)),0),0)</f>
        <v>0</v>
      </c>
      <c r="AS67" s="66">
        <f>IF(AS59&lt;&gt;"Dim",IF(SUM($AM64:AS64)&gt;43,(MIN(SUM($AM64:AS64),48)-43-SUM($AM67:AR67)),0),0)</f>
        <v>0</v>
      </c>
      <c r="AT67" s="60">
        <f t="shared" si="174"/>
        <v>0</v>
      </c>
      <c r="AU67" s="60"/>
      <c r="AV67" s="66">
        <f>IF(AV59&lt;&gt;"Dim",IF(AV64&gt;43,(MIN(AV64,48)-43),0),0)</f>
        <v>0</v>
      </c>
      <c r="AW67" s="66">
        <f>IF(AW59&lt;&gt;"Dim",IF(SUM($AV64:AW64)&gt;43,(MIN(SUM($AV64:AW64),48)-43-SUM($AV67:AV67)),0),0)</f>
        <v>0</v>
      </c>
      <c r="AX67" s="60">
        <f t="shared" si="164"/>
        <v>0</v>
      </c>
      <c r="AY67" s="60">
        <f t="shared" si="176"/>
        <v>0</v>
      </c>
      <c r="AZ67" s="31"/>
      <c r="BA67" s="31"/>
      <c r="BB67" s="31"/>
      <c r="BC67" s="31"/>
      <c r="BD67" s="31"/>
      <c r="BE67" s="31"/>
      <c r="BF67" s="41"/>
    </row>
    <row r="68" spans="1:58" s="7" customFormat="1" ht="15" customHeight="1" x14ac:dyDescent="0.25">
      <c r="A68" s="21" t="s">
        <v>7</v>
      </c>
      <c r="B68" s="81"/>
      <c r="C68" s="66">
        <f>IF(C59="Dim",C64,IF(C74="ferie",C64,0))</f>
        <v>0</v>
      </c>
      <c r="D68" s="66">
        <f t="shared" ref="D68:I68" si="183">IF(D59="Dim",D64,IF(D74="ferie",D64,0))</f>
        <v>0</v>
      </c>
      <c r="E68" s="66">
        <f t="shared" si="183"/>
        <v>0</v>
      </c>
      <c r="F68" s="66">
        <f t="shared" si="183"/>
        <v>0</v>
      </c>
      <c r="G68" s="66">
        <f t="shared" si="183"/>
        <v>0</v>
      </c>
      <c r="H68" s="66">
        <f t="shared" si="183"/>
        <v>0</v>
      </c>
      <c r="I68" s="66">
        <f t="shared" si="183"/>
        <v>0</v>
      </c>
      <c r="J68" s="60">
        <f t="shared" si="166"/>
        <v>0</v>
      </c>
      <c r="K68" s="60"/>
      <c r="L68" s="66">
        <f>IF(L59="Dim",L64,IF(L74="ferie",L64,0))</f>
        <v>0</v>
      </c>
      <c r="M68" s="66">
        <f t="shared" ref="M68:R68" si="184">IF(M59="Dim",M64,IF(M74="ferie",M64,0))</f>
        <v>0</v>
      </c>
      <c r="N68" s="66">
        <f t="shared" si="184"/>
        <v>0</v>
      </c>
      <c r="O68" s="66">
        <f t="shared" si="184"/>
        <v>0</v>
      </c>
      <c r="P68" s="66">
        <f t="shared" si="184"/>
        <v>0</v>
      </c>
      <c r="Q68" s="66">
        <f>IF(Q59="Dim",Q64,IF(Q74="ferie",Q64,0))</f>
        <v>0</v>
      </c>
      <c r="R68" s="66">
        <f t="shared" si="184"/>
        <v>0</v>
      </c>
      <c r="S68" s="60">
        <f t="shared" si="168"/>
        <v>0</v>
      </c>
      <c r="T68" s="60"/>
      <c r="U68" s="66">
        <f>IF(U59="Dim",U64,IF(U74="ferie",U64,0))</f>
        <v>0</v>
      </c>
      <c r="V68" s="66">
        <f t="shared" ref="V68:AA68" si="185">IF(V59="Dim",V64,IF(V74="ferie",V64,0))</f>
        <v>0</v>
      </c>
      <c r="W68" s="66">
        <f t="shared" si="185"/>
        <v>0</v>
      </c>
      <c r="X68" s="66">
        <f t="shared" si="185"/>
        <v>0</v>
      </c>
      <c r="Y68" s="66">
        <f t="shared" si="185"/>
        <v>0</v>
      </c>
      <c r="Z68" s="66">
        <f t="shared" si="185"/>
        <v>0</v>
      </c>
      <c r="AA68" s="66">
        <f t="shared" si="185"/>
        <v>0</v>
      </c>
      <c r="AB68" s="60">
        <f t="shared" si="170"/>
        <v>0</v>
      </c>
      <c r="AC68" s="60"/>
      <c r="AD68" s="66">
        <f>IF(AD59="Dim",AD64,IF(AD74="ferie",AD64,0))</f>
        <v>0</v>
      </c>
      <c r="AE68" s="66">
        <f t="shared" ref="AE68:AJ68" si="186">IF(AE59="Dim",AE64,IF(AE74="ferie",AE64,0))</f>
        <v>0</v>
      </c>
      <c r="AF68" s="66">
        <f t="shared" si="186"/>
        <v>0</v>
      </c>
      <c r="AG68" s="66">
        <f t="shared" si="186"/>
        <v>0</v>
      </c>
      <c r="AH68" s="66">
        <f t="shared" si="186"/>
        <v>0</v>
      </c>
      <c r="AI68" s="66">
        <f t="shared" si="186"/>
        <v>0</v>
      </c>
      <c r="AJ68" s="66">
        <f t="shared" si="186"/>
        <v>0</v>
      </c>
      <c r="AK68" s="60">
        <f t="shared" ref="AK68" si="187">SUM(AD68:AJ68)</f>
        <v>0</v>
      </c>
      <c r="AL68" s="60"/>
      <c r="AM68" s="66">
        <f>IF(AM59="Dim",AM64,IF(AM74="ferie",AM64,0))</f>
        <v>0</v>
      </c>
      <c r="AN68" s="66">
        <f t="shared" ref="AN68:AW68" si="188">IF(AN59="Dim",AN64,IF(AN74="ferie",AN64,0))</f>
        <v>0</v>
      </c>
      <c r="AO68" s="66">
        <f t="shared" si="188"/>
        <v>0</v>
      </c>
      <c r="AP68" s="66">
        <f t="shared" si="188"/>
        <v>0</v>
      </c>
      <c r="AQ68" s="66">
        <f t="shared" si="188"/>
        <v>0</v>
      </c>
      <c r="AR68" s="66">
        <f t="shared" si="188"/>
        <v>0</v>
      </c>
      <c r="AS68" s="66">
        <f t="shared" si="188"/>
        <v>0</v>
      </c>
      <c r="AT68" s="60">
        <f>SUM(AM68:AS68)</f>
        <v>0</v>
      </c>
      <c r="AU68" s="60"/>
      <c r="AV68" s="66">
        <f>IF(AV59="Dim",AV64,IF(AV74="ferie",AV64,0))</f>
        <v>0</v>
      </c>
      <c r="AW68" s="66">
        <f t="shared" si="188"/>
        <v>0</v>
      </c>
      <c r="AX68" s="60">
        <f t="shared" si="164"/>
        <v>0</v>
      </c>
      <c r="AY68" s="60">
        <f t="shared" si="176"/>
        <v>0</v>
      </c>
      <c r="AZ68" s="46"/>
      <c r="BA68" s="46"/>
      <c r="BB68" s="46"/>
      <c r="BC68" s="46"/>
      <c r="BD68" s="46"/>
      <c r="BE68" s="46"/>
      <c r="BF68" s="35"/>
    </row>
    <row r="69" spans="1:58" s="7" customFormat="1" ht="15" customHeight="1" x14ac:dyDescent="0.25">
      <c r="A69" s="21" t="s">
        <v>8</v>
      </c>
      <c r="B69" s="81"/>
      <c r="C69" s="31"/>
      <c r="D69" s="31"/>
      <c r="E69" s="31"/>
      <c r="F69" s="31"/>
      <c r="G69" s="31"/>
      <c r="H69" s="31"/>
      <c r="I69" s="31"/>
      <c r="J69" s="60">
        <f t="shared" si="166"/>
        <v>0</v>
      </c>
      <c r="K69" s="60"/>
      <c r="L69" s="31"/>
      <c r="M69" s="31"/>
      <c r="N69" s="31"/>
      <c r="O69" s="31"/>
      <c r="P69" s="31"/>
      <c r="Q69" s="31"/>
      <c r="R69" s="31"/>
      <c r="S69" s="60">
        <f t="shared" si="168"/>
        <v>0</v>
      </c>
      <c r="T69" s="60"/>
      <c r="U69" s="31"/>
      <c r="V69" s="31"/>
      <c r="W69" s="31"/>
      <c r="X69" s="31"/>
      <c r="Y69" s="31"/>
      <c r="Z69" s="31"/>
      <c r="AA69" s="31"/>
      <c r="AB69" s="60">
        <f t="shared" si="170"/>
        <v>0</v>
      </c>
      <c r="AC69" s="60"/>
      <c r="AD69" s="31"/>
      <c r="AE69" s="31"/>
      <c r="AF69" s="31"/>
      <c r="AG69" s="31"/>
      <c r="AH69" s="31"/>
      <c r="AI69" s="31"/>
      <c r="AJ69" s="31"/>
      <c r="AK69" s="60">
        <f t="shared" si="172"/>
        <v>0</v>
      </c>
      <c r="AL69" s="60"/>
      <c r="AM69" s="31"/>
      <c r="AN69" s="31"/>
      <c r="AO69" s="31"/>
      <c r="AP69" s="31"/>
      <c r="AQ69" s="31"/>
      <c r="AR69" s="31"/>
      <c r="AS69" s="31"/>
      <c r="AT69" s="60">
        <f t="shared" si="174"/>
        <v>0</v>
      </c>
      <c r="AU69" s="60"/>
      <c r="AV69" s="31"/>
      <c r="AW69" s="31"/>
      <c r="AX69" s="60">
        <f t="shared" si="164"/>
        <v>0</v>
      </c>
      <c r="AY69" s="60">
        <f t="shared" si="176"/>
        <v>0</v>
      </c>
      <c r="AZ69" s="46"/>
      <c r="BA69" s="46"/>
      <c r="BB69" s="46"/>
      <c r="BC69" s="46"/>
      <c r="BD69" s="46"/>
      <c r="BE69" s="46"/>
      <c r="BF69" s="35"/>
    </row>
    <row r="70" spans="1:58" s="7" customFormat="1" ht="15" customHeight="1" x14ac:dyDescent="0.25">
      <c r="A70" s="36" t="s">
        <v>9</v>
      </c>
      <c r="B70" s="82"/>
      <c r="C70" s="31"/>
      <c r="D70" s="31"/>
      <c r="E70" s="31"/>
      <c r="F70" s="31"/>
      <c r="G70" s="31"/>
      <c r="H70" s="31"/>
      <c r="I70" s="31"/>
      <c r="J70" s="60">
        <f t="shared" si="166"/>
        <v>0</v>
      </c>
      <c r="K70" s="60"/>
      <c r="L70" s="31"/>
      <c r="M70" s="31"/>
      <c r="N70" s="31"/>
      <c r="O70" s="31"/>
      <c r="P70" s="31"/>
      <c r="Q70" s="31"/>
      <c r="R70" s="31"/>
      <c r="S70" s="60">
        <f t="shared" si="168"/>
        <v>0</v>
      </c>
      <c r="T70" s="60"/>
      <c r="U70" s="31"/>
      <c r="V70" s="31"/>
      <c r="W70" s="31"/>
      <c r="X70" s="31"/>
      <c r="Y70" s="31"/>
      <c r="Z70" s="31"/>
      <c r="AA70" s="31"/>
      <c r="AB70" s="60">
        <f t="shared" si="170"/>
        <v>0</v>
      </c>
      <c r="AC70" s="60"/>
      <c r="AD70" s="31"/>
      <c r="AE70" s="31"/>
      <c r="AF70" s="31"/>
      <c r="AG70" s="31"/>
      <c r="AH70" s="31"/>
      <c r="AI70" s="31"/>
      <c r="AJ70" s="31"/>
      <c r="AK70" s="60">
        <f t="shared" si="172"/>
        <v>0</v>
      </c>
      <c r="AL70" s="60"/>
      <c r="AM70" s="31"/>
      <c r="AN70" s="31"/>
      <c r="AO70" s="31"/>
      <c r="AP70" s="31"/>
      <c r="AQ70" s="31"/>
      <c r="AR70" s="31"/>
      <c r="AS70" s="31"/>
      <c r="AT70" s="60">
        <f t="shared" si="174"/>
        <v>0</v>
      </c>
      <c r="AU70" s="60"/>
      <c r="AV70" s="31"/>
      <c r="AW70" s="31"/>
      <c r="AX70" s="60">
        <f t="shared" ref="AX70:AX72" si="189">SUM(AV70:AW70)</f>
        <v>0</v>
      </c>
      <c r="AY70" s="60">
        <f t="shared" si="176"/>
        <v>0</v>
      </c>
      <c r="AZ70" s="46"/>
      <c r="BA70" s="46"/>
      <c r="BB70" s="46"/>
      <c r="BC70" s="46"/>
      <c r="BD70" s="46"/>
      <c r="BE70" s="46"/>
      <c r="BF70" s="35"/>
    </row>
    <row r="71" spans="1:58" s="7" customFormat="1" ht="15" customHeight="1" x14ac:dyDescent="0.25">
      <c r="A71" s="21" t="s">
        <v>11</v>
      </c>
      <c r="B71" s="81"/>
      <c r="C71" s="31"/>
      <c r="D71" s="31"/>
      <c r="E71" s="31"/>
      <c r="F71" s="31"/>
      <c r="G71" s="31"/>
      <c r="H71" s="31"/>
      <c r="I71" s="31"/>
      <c r="J71" s="60">
        <f t="shared" si="166"/>
        <v>0</v>
      </c>
      <c r="K71" s="60"/>
      <c r="L71" s="31"/>
      <c r="M71" s="31"/>
      <c r="N71" s="31"/>
      <c r="O71" s="31"/>
      <c r="P71" s="31"/>
      <c r="Q71" s="31"/>
      <c r="R71" s="31"/>
      <c r="S71" s="60">
        <f t="shared" si="168"/>
        <v>0</v>
      </c>
      <c r="T71" s="60"/>
      <c r="U71" s="31"/>
      <c r="V71" s="31"/>
      <c r="W71" s="31"/>
      <c r="X71" s="31"/>
      <c r="Y71" s="31"/>
      <c r="Z71" s="31"/>
      <c r="AA71" s="31"/>
      <c r="AB71" s="60">
        <f t="shared" si="170"/>
        <v>0</v>
      </c>
      <c r="AC71" s="60"/>
      <c r="AD71" s="31"/>
      <c r="AE71" s="31"/>
      <c r="AF71" s="31"/>
      <c r="AG71" s="31"/>
      <c r="AH71" s="31"/>
      <c r="AI71" s="31"/>
      <c r="AJ71" s="31"/>
      <c r="AK71" s="60">
        <f t="shared" si="172"/>
        <v>0</v>
      </c>
      <c r="AL71" s="60"/>
      <c r="AM71" s="31"/>
      <c r="AN71" s="31"/>
      <c r="AO71" s="31"/>
      <c r="AP71" s="31"/>
      <c r="AQ71" s="31"/>
      <c r="AR71" s="31"/>
      <c r="AS71" s="31"/>
      <c r="AT71" s="60">
        <f t="shared" si="174"/>
        <v>0</v>
      </c>
      <c r="AU71" s="60"/>
      <c r="AV71" s="31"/>
      <c r="AW71" s="31"/>
      <c r="AX71" s="60">
        <f t="shared" si="189"/>
        <v>0</v>
      </c>
      <c r="AY71" s="60">
        <f t="shared" si="176"/>
        <v>0</v>
      </c>
      <c r="AZ71" s="46"/>
      <c r="BA71" s="46"/>
      <c r="BB71" s="46"/>
      <c r="BC71" s="46"/>
      <c r="BD71" s="46"/>
      <c r="BE71" s="46"/>
      <c r="BF71" s="35"/>
    </row>
    <row r="72" spans="1:58" s="7" customFormat="1" ht="15" customHeight="1" x14ac:dyDescent="0.25">
      <c r="A72" s="36" t="s">
        <v>10</v>
      </c>
      <c r="B72" s="82"/>
      <c r="C72" s="31"/>
      <c r="D72" s="31"/>
      <c r="E72" s="31"/>
      <c r="F72" s="31"/>
      <c r="G72" s="31"/>
      <c r="H72" s="31"/>
      <c r="I72" s="31"/>
      <c r="J72" s="60">
        <f t="shared" si="166"/>
        <v>0</v>
      </c>
      <c r="K72" s="60"/>
      <c r="L72" s="31"/>
      <c r="M72" s="31"/>
      <c r="N72" s="31"/>
      <c r="O72" s="31"/>
      <c r="P72" s="31"/>
      <c r="Q72" s="31"/>
      <c r="R72" s="31"/>
      <c r="S72" s="60">
        <f t="shared" si="168"/>
        <v>0</v>
      </c>
      <c r="T72" s="60"/>
      <c r="U72" s="31"/>
      <c r="V72" s="31"/>
      <c r="W72" s="31"/>
      <c r="X72" s="31"/>
      <c r="Y72" s="31"/>
      <c r="Z72" s="31"/>
      <c r="AA72" s="31"/>
      <c r="AB72" s="60">
        <f t="shared" si="170"/>
        <v>0</v>
      </c>
      <c r="AC72" s="60"/>
      <c r="AD72" s="31"/>
      <c r="AE72" s="31"/>
      <c r="AF72" s="31"/>
      <c r="AG72" s="31"/>
      <c r="AH72" s="31"/>
      <c r="AI72" s="31"/>
      <c r="AJ72" s="31"/>
      <c r="AK72" s="60">
        <f t="shared" si="172"/>
        <v>0</v>
      </c>
      <c r="AL72" s="60"/>
      <c r="AM72" s="31"/>
      <c r="AN72" s="31"/>
      <c r="AO72" s="31"/>
      <c r="AP72" s="31"/>
      <c r="AQ72" s="31"/>
      <c r="AR72" s="31"/>
      <c r="AS72" s="31"/>
      <c r="AT72" s="60">
        <f t="shared" si="174"/>
        <v>0</v>
      </c>
      <c r="AU72" s="60"/>
      <c r="AV72" s="31"/>
      <c r="AW72" s="31"/>
      <c r="AX72" s="60">
        <f t="shared" si="189"/>
        <v>0</v>
      </c>
      <c r="AY72" s="60">
        <f t="shared" si="176"/>
        <v>0</v>
      </c>
      <c r="AZ72" s="46"/>
      <c r="BA72" s="46"/>
      <c r="BB72" s="46"/>
      <c r="BC72" s="46"/>
      <c r="BD72" s="46"/>
      <c r="BE72" s="46"/>
      <c r="BF72" s="35"/>
    </row>
    <row r="73" spans="1:58" s="33" customFormat="1" ht="15" customHeight="1" x14ac:dyDescent="0.25">
      <c r="A73" s="36" t="s">
        <v>44</v>
      </c>
      <c r="B73" s="82"/>
      <c r="C73" s="60">
        <f>IF(C61="nuit",C64*0.02,0)</f>
        <v>0</v>
      </c>
      <c r="D73" s="60">
        <f>IF(D61="nuit",D64*0.02,0)</f>
        <v>0</v>
      </c>
      <c r="E73" s="60">
        <f t="shared" ref="E73:I73" si="190">IF(E61="nuit",E64*0.02,0)</f>
        <v>0</v>
      </c>
      <c r="F73" s="60">
        <f t="shared" si="190"/>
        <v>0</v>
      </c>
      <c r="G73" s="60">
        <f>IF(G61="nuit",G64*0.02,0)</f>
        <v>0</v>
      </c>
      <c r="H73" s="60">
        <f t="shared" si="190"/>
        <v>0</v>
      </c>
      <c r="I73" s="60">
        <f t="shared" si="190"/>
        <v>0</v>
      </c>
      <c r="J73" s="60">
        <f t="shared" si="166"/>
        <v>0</v>
      </c>
      <c r="K73" s="60"/>
      <c r="L73" s="60">
        <f>IF(L61="nuit",L64*0.02,0)</f>
        <v>0</v>
      </c>
      <c r="M73" s="60">
        <f>IF(M61="nuit",M64*0.02,0)</f>
        <v>0</v>
      </c>
      <c r="N73" s="60">
        <f t="shared" ref="N73:R73" si="191">IF(N61="nuit",N64*0.02,0)</f>
        <v>0</v>
      </c>
      <c r="O73" s="60">
        <f t="shared" si="191"/>
        <v>0</v>
      </c>
      <c r="P73" s="60">
        <f>IF(P61="nuit",P64*0.02,0)</f>
        <v>0</v>
      </c>
      <c r="Q73" s="60">
        <f t="shared" si="191"/>
        <v>0</v>
      </c>
      <c r="R73" s="60">
        <f t="shared" si="191"/>
        <v>0</v>
      </c>
      <c r="S73" s="60">
        <f t="shared" si="168"/>
        <v>0</v>
      </c>
      <c r="T73" s="60"/>
      <c r="U73" s="60">
        <f>IF(U61="nuit",U64*0.02,0)</f>
        <v>0</v>
      </c>
      <c r="V73" s="60">
        <f>IF(V61="nuit",V64*0.02,0)</f>
        <v>0</v>
      </c>
      <c r="W73" s="60">
        <f t="shared" ref="W73:AA73" si="192">IF(W61="nuit",W64*0.02,0)</f>
        <v>0</v>
      </c>
      <c r="X73" s="60">
        <f t="shared" si="192"/>
        <v>0</v>
      </c>
      <c r="Y73" s="60">
        <f>IF(Y61="nuit",Y64*0.02,0)</f>
        <v>0</v>
      </c>
      <c r="Z73" s="60">
        <f t="shared" si="192"/>
        <v>0</v>
      </c>
      <c r="AA73" s="60">
        <f t="shared" si="192"/>
        <v>0</v>
      </c>
      <c r="AB73" s="60">
        <f t="shared" si="170"/>
        <v>0</v>
      </c>
      <c r="AC73" s="60"/>
      <c r="AD73" s="60">
        <f>IF(AD61="nuit",AD64*0.02,0)</f>
        <v>0</v>
      </c>
      <c r="AE73" s="60">
        <f>IF(AE61="nuit",AE64*0.02,0)</f>
        <v>0</v>
      </c>
      <c r="AF73" s="60">
        <f t="shared" ref="AF73:AJ73" si="193">IF(AF61="nuit",AF64*0.02,0)</f>
        <v>0</v>
      </c>
      <c r="AG73" s="60">
        <f t="shared" si="193"/>
        <v>0</v>
      </c>
      <c r="AH73" s="60">
        <f>IF(AH61="nuit",AH64*0.02,0)</f>
        <v>0</v>
      </c>
      <c r="AI73" s="60">
        <f t="shared" si="193"/>
        <v>0</v>
      </c>
      <c r="AJ73" s="60">
        <f t="shared" si="193"/>
        <v>0</v>
      </c>
      <c r="AK73" s="60">
        <f t="shared" si="172"/>
        <v>0</v>
      </c>
      <c r="AL73" s="60"/>
      <c r="AM73" s="60">
        <f>IF(AM61="nuit",AM64*0.02,0)</f>
        <v>0</v>
      </c>
      <c r="AN73" s="60">
        <f>IF(AN61="nuit",AN64*0.02,0)</f>
        <v>0</v>
      </c>
      <c r="AO73" s="60">
        <f t="shared" ref="AO73:AS73" si="194">IF(AO61="nuit",AO64*0.02,0)</f>
        <v>0</v>
      </c>
      <c r="AP73" s="60">
        <f t="shared" si="194"/>
        <v>0</v>
      </c>
      <c r="AQ73" s="60">
        <f>IF(AQ61="nuit",AQ64*0.02,0)</f>
        <v>0</v>
      </c>
      <c r="AR73" s="60">
        <f t="shared" si="194"/>
        <v>0</v>
      </c>
      <c r="AS73" s="60">
        <f t="shared" si="194"/>
        <v>0</v>
      </c>
      <c r="AT73" s="60">
        <f t="shared" si="174"/>
        <v>0</v>
      </c>
      <c r="AU73" s="60"/>
      <c r="AV73" s="60">
        <f>IF(AV61="nuit",AV64*0.02,0)</f>
        <v>0</v>
      </c>
      <c r="AW73" s="60">
        <f>IF(AW61="nuit",AW64*0.02,0)</f>
        <v>0</v>
      </c>
      <c r="AX73" s="60">
        <f>SUM(AV73:AW73)</f>
        <v>0</v>
      </c>
      <c r="AY73" s="60">
        <f>J73+S73+AB73+AK73+AT73+AX73</f>
        <v>0</v>
      </c>
      <c r="AZ73" s="52"/>
      <c r="BA73" s="52"/>
      <c r="BB73" s="52"/>
      <c r="BC73" s="52"/>
      <c r="BD73" s="52"/>
      <c r="BE73" s="52"/>
      <c r="BF73" s="35"/>
    </row>
    <row r="74" spans="1:58" s="8" customFormat="1" ht="15" customHeight="1" x14ac:dyDescent="0.25">
      <c r="A74" s="21" t="s">
        <v>31</v>
      </c>
      <c r="B74" s="81"/>
      <c r="C74" s="31"/>
      <c r="D74" s="31"/>
      <c r="E74" s="31"/>
      <c r="F74" s="31"/>
      <c r="G74" s="31"/>
      <c r="H74" s="37"/>
      <c r="I74" s="37"/>
      <c r="J74" s="64"/>
      <c r="K74" s="64"/>
      <c r="L74" s="37"/>
      <c r="M74" s="37"/>
      <c r="N74" s="37"/>
      <c r="O74" s="37"/>
      <c r="P74" s="37"/>
      <c r="Q74" s="37"/>
      <c r="R74" s="37"/>
      <c r="S74" s="64"/>
      <c r="T74" s="64"/>
      <c r="U74" s="37"/>
      <c r="V74" s="37"/>
      <c r="W74" s="37"/>
      <c r="X74" s="37"/>
      <c r="Y74" s="37"/>
      <c r="Z74" s="37"/>
      <c r="AA74" s="37"/>
      <c r="AB74" s="64"/>
      <c r="AC74" s="64"/>
      <c r="AD74" s="37"/>
      <c r="AE74" s="37"/>
      <c r="AF74" s="37"/>
      <c r="AG74" s="37"/>
      <c r="AH74" s="37"/>
      <c r="AI74" s="37"/>
      <c r="AJ74" s="37"/>
      <c r="AK74" s="64"/>
      <c r="AL74" s="64"/>
      <c r="AM74" s="37"/>
      <c r="AN74" s="37"/>
      <c r="AO74" s="37"/>
      <c r="AP74" s="37"/>
      <c r="AQ74" s="37"/>
      <c r="AR74" s="37"/>
      <c r="AS74" s="37"/>
      <c r="AT74" s="64"/>
      <c r="AU74" s="64"/>
      <c r="AV74" s="37"/>
      <c r="AW74" s="37"/>
      <c r="AX74" s="64"/>
      <c r="AY74" s="65"/>
      <c r="AZ74" s="52"/>
      <c r="BA74" s="52"/>
      <c r="BB74" s="52"/>
      <c r="BC74" s="52"/>
      <c r="BD74" s="52"/>
      <c r="BE74" s="52"/>
      <c r="BF74" s="35"/>
    </row>
    <row r="75" spans="1:58" s="8" customFormat="1" ht="15" customHeight="1" x14ac:dyDescent="0.25">
      <c r="A75" s="38"/>
      <c r="B75" s="38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69"/>
      <c r="AZ75" s="52"/>
      <c r="BA75" s="52"/>
      <c r="BB75" s="52"/>
      <c r="BC75" s="52"/>
      <c r="BD75" s="52"/>
      <c r="BE75" s="52"/>
      <c r="BF75" s="35"/>
    </row>
    <row r="76" spans="1:58" s="8" customFormat="1" ht="27.6" x14ac:dyDescent="0.25">
      <c r="A76" s="21"/>
      <c r="B76" s="21"/>
      <c r="C76" s="24" t="s">
        <v>23</v>
      </c>
      <c r="D76" s="24"/>
      <c r="E76" s="24"/>
      <c r="F76" s="24"/>
      <c r="G76" s="24"/>
      <c r="H76" s="95">
        <f>Année_Calendaire</f>
        <v>2016</v>
      </c>
      <c r="I76" s="95"/>
      <c r="J76" s="49"/>
      <c r="K76" s="79"/>
      <c r="L76" s="31"/>
      <c r="M76" s="31"/>
      <c r="N76" s="31"/>
      <c r="O76" s="31"/>
      <c r="P76" s="31"/>
      <c r="Q76" s="31"/>
      <c r="R76" s="31"/>
      <c r="S76" s="49"/>
      <c r="T76" s="79"/>
      <c r="U76" s="24" t="s">
        <v>23</v>
      </c>
      <c r="V76" s="24"/>
      <c r="W76" s="24"/>
      <c r="X76" s="24"/>
      <c r="Y76" s="24"/>
      <c r="Z76" s="95">
        <f>Année_Calendaire</f>
        <v>2016</v>
      </c>
      <c r="AA76" s="95"/>
      <c r="AB76" s="49"/>
      <c r="AC76" s="79"/>
      <c r="AD76" s="31"/>
      <c r="AE76" s="31"/>
      <c r="AF76" s="31"/>
      <c r="AG76" s="31"/>
      <c r="AH76" s="31"/>
      <c r="AI76" s="31"/>
      <c r="AJ76" s="31"/>
      <c r="AK76" s="49"/>
      <c r="AL76" s="79"/>
      <c r="AM76" s="24" t="s">
        <v>23</v>
      </c>
      <c r="AN76" s="24"/>
      <c r="AO76" s="24"/>
      <c r="AP76" s="24"/>
      <c r="AQ76" s="24"/>
      <c r="AR76" s="95">
        <f>Année_Calendaire</f>
        <v>2016</v>
      </c>
      <c r="AS76" s="95"/>
      <c r="AT76" s="49"/>
      <c r="AU76" s="79"/>
      <c r="AV76" s="31"/>
      <c r="AW76" s="31"/>
      <c r="AX76" s="49"/>
      <c r="AY76" s="52"/>
      <c r="AZ76" s="52"/>
      <c r="BA76" s="52"/>
      <c r="BB76" s="52"/>
      <c r="BC76" s="52"/>
      <c r="BD76" s="52"/>
      <c r="BE76" s="52"/>
      <c r="BF76" s="35"/>
    </row>
    <row r="77" spans="1:58" s="8" customFormat="1" ht="29.25" customHeight="1" x14ac:dyDescent="0.25">
      <c r="A77" s="31"/>
      <c r="B77" s="31"/>
      <c r="C77" s="62" t="s">
        <v>13</v>
      </c>
      <c r="D77" s="62" t="s">
        <v>14</v>
      </c>
      <c r="E77" s="62" t="s">
        <v>15</v>
      </c>
      <c r="F77" s="62" t="s">
        <v>16</v>
      </c>
      <c r="G77" s="62" t="s">
        <v>17</v>
      </c>
      <c r="H77" s="62" t="s">
        <v>18</v>
      </c>
      <c r="I77" s="62" t="s">
        <v>19</v>
      </c>
      <c r="J77" s="96" t="s">
        <v>32</v>
      </c>
      <c r="K77" s="85"/>
      <c r="L77" s="62" t="s">
        <v>13</v>
      </c>
      <c r="M77" s="62" t="s">
        <v>14</v>
      </c>
      <c r="N77" s="62" t="s">
        <v>15</v>
      </c>
      <c r="O77" s="62" t="s">
        <v>16</v>
      </c>
      <c r="P77" s="62" t="s">
        <v>17</v>
      </c>
      <c r="Q77" s="62" t="s">
        <v>18</v>
      </c>
      <c r="R77" s="62" t="s">
        <v>19</v>
      </c>
      <c r="S77" s="96" t="s">
        <v>32</v>
      </c>
      <c r="T77" s="85"/>
      <c r="U77" s="62" t="s">
        <v>13</v>
      </c>
      <c r="V77" s="62" t="s">
        <v>14</v>
      </c>
      <c r="W77" s="62" t="s">
        <v>15</v>
      </c>
      <c r="X77" s="62" t="s">
        <v>16</v>
      </c>
      <c r="Y77" s="62" t="s">
        <v>17</v>
      </c>
      <c r="Z77" s="62" t="s">
        <v>18</v>
      </c>
      <c r="AA77" s="62" t="s">
        <v>19</v>
      </c>
      <c r="AB77" s="96" t="s">
        <v>32</v>
      </c>
      <c r="AC77" s="85"/>
      <c r="AD77" s="62" t="s">
        <v>13</v>
      </c>
      <c r="AE77" s="62" t="s">
        <v>14</v>
      </c>
      <c r="AF77" s="62" t="s">
        <v>15</v>
      </c>
      <c r="AG77" s="62" t="s">
        <v>16</v>
      </c>
      <c r="AH77" s="62" t="s">
        <v>17</v>
      </c>
      <c r="AI77" s="62" t="s">
        <v>18</v>
      </c>
      <c r="AJ77" s="62" t="s">
        <v>19</v>
      </c>
      <c r="AK77" s="96" t="s">
        <v>32</v>
      </c>
      <c r="AL77" s="85"/>
      <c r="AM77" s="62" t="s">
        <v>13</v>
      </c>
      <c r="AN77" s="62" t="s">
        <v>14</v>
      </c>
      <c r="AO77" s="62" t="s">
        <v>15</v>
      </c>
      <c r="AP77" s="62" t="s">
        <v>16</v>
      </c>
      <c r="AQ77" s="62" t="s">
        <v>17</v>
      </c>
      <c r="AR77" s="62" t="s">
        <v>18</v>
      </c>
      <c r="AS77" s="62" t="s">
        <v>19</v>
      </c>
      <c r="AT77" s="96" t="s">
        <v>32</v>
      </c>
      <c r="AU77" s="85" t="s">
        <v>79</v>
      </c>
      <c r="AV77" s="62" t="s">
        <v>13</v>
      </c>
      <c r="AW77" s="62" t="s">
        <v>14</v>
      </c>
      <c r="AX77" s="96" t="s">
        <v>32</v>
      </c>
      <c r="AY77" s="96" t="s">
        <v>35</v>
      </c>
      <c r="AZ77" s="97">
        <f>AY84+AY85+AY86</f>
        <v>0</v>
      </c>
      <c r="BA77" s="97">
        <f>AZ77+BA59</f>
        <v>10</v>
      </c>
      <c r="BB77" s="52"/>
      <c r="BC77" s="52"/>
      <c r="BD77" s="52"/>
      <c r="BE77" s="52"/>
      <c r="BF77" s="35"/>
    </row>
    <row r="78" spans="1:58" s="8" customFormat="1" ht="15" customHeight="1" x14ac:dyDescent="0.25">
      <c r="A78" s="48"/>
      <c r="B78" s="83"/>
      <c r="C78" s="67" t="str">
        <f>IF(DAY(Mai_Dim1)=1,"",IF(AND(YEAR(Mai_Dim1+1)=Année_Calendaire,MONTH(Mai_Dim1+1)=5),Mai_Dim1+1,""))</f>
        <v/>
      </c>
      <c r="D78" s="67" t="str">
        <f>IF(DAY(Mai_Dim1)=1,"",IF(AND(YEAR(Mai_Dim1+2)=Année_Calendaire,MONTH(Mai_Dim1+2)=5),Mai_Dim1+2,""))</f>
        <v/>
      </c>
      <c r="E78" s="67" t="str">
        <f>IF(DAY(Mai_Dim1)=1,"",IF(AND(YEAR(Mai_Dim1+3)=Année_Calendaire,MONTH(Mai_Dim1+3)=5),Mai_Dim1+3,""))</f>
        <v/>
      </c>
      <c r="F78" s="67" t="str">
        <f>IF(DAY(Mai_Dim1)=1,"",IF(AND(YEAR(Mai_Dim1+4)=Année_Calendaire,MONTH(Mai_Dim1+4)=5),Mai_Dim1+4,""))</f>
        <v/>
      </c>
      <c r="G78" s="67" t="str">
        <f>IF(DAY(Mai_Dim1)=1,"",IF(AND(YEAR(Mai_Dim1+5)=Année_Calendaire,MONTH(Mai_Dim1+5)=5),Mai_Dim1+5,""))</f>
        <v/>
      </c>
      <c r="H78" s="67" t="str">
        <f>IF(DAY(Mai_Dim1)=1,"",IF(AND(YEAR(Mai_Dim1+6)=Année_Calendaire,MONTH(Mai_Dim1+6)=5),Mai_Dim1+6,""))</f>
        <v/>
      </c>
      <c r="I78" s="67">
        <f>IF(DAY(Mai_Dim1)=1,IF(AND(YEAR(Mai_Dim1)=Année_Calendaire,MONTH(Mai_Dim1)=5),Mai_Dim1,""),IF(AND(YEAR(Mai_Dim1+7)=Année_Calendaire,MONTH(Mai_Dim1+7)=5),Mai_Dim1+7,""))</f>
        <v>42491</v>
      </c>
      <c r="J78" s="96"/>
      <c r="K78" s="78"/>
      <c r="L78" s="67">
        <f>IF(DAY(Mai_Dim1)=1,IF(AND(YEAR(Mai_Dim1+1)=Année_Calendaire,MONTH(Mai_Dim1+1)=5),Mai_Dim1+1,""),IF(AND(YEAR(Mai_Dim1+8)=Année_Calendaire,MONTH(Mai_Dim1+8)=5),Mai_Dim1+8,""))</f>
        <v>42492</v>
      </c>
      <c r="M78" s="67">
        <f>IF(DAY(Mai_Dim1)=1,IF(AND(YEAR(Mai_Dim1+2)=Année_Calendaire,MONTH(Mai_Dim1+2)=5),Mai_Dim1+2,""),IF(AND(YEAR(Mai_Dim1+9)=Année_Calendaire,MONTH(Mai_Dim1+9)=5),Mai_Dim1+9,""))</f>
        <v>42493</v>
      </c>
      <c r="N78" s="67">
        <f>IF(DAY(Mai_Dim1)=1,IF(AND(YEAR(Mai_Dim1+3)=Année_Calendaire,MONTH(Mai_Dim1+3)=5),Mai_Dim1+3,""),IF(AND(YEAR(Mai_Dim1+10)=Année_Calendaire,MONTH(Mai_Dim1+10)=5),Mai_Dim1+10,""))</f>
        <v>42494</v>
      </c>
      <c r="O78" s="67">
        <f>IF(DAY(Mai_Dim1)=1,IF(AND(YEAR(Mai_Dim1+4)=Année_Calendaire,MONTH(Mai_Dim1+4)=5),Mai_Dim1+4,""),IF(AND(YEAR(Mai_Dim1+11)=Année_Calendaire,MONTH(Mai_Dim1+11)=5),Mai_Dim1+11,""))</f>
        <v>42495</v>
      </c>
      <c r="P78" s="67">
        <f>IF(DAY(Mai_Dim1)=1,IF(AND(YEAR(Mai_Dim1+5)=Année_Calendaire,MONTH(Mai_Dim1+5)=5),Mai_Dim1+5,""),IF(AND(YEAR(Mai_Dim1+12)=Année_Calendaire,MONTH(Mai_Dim1+12)=5),Mai_Dim1+12,""))</f>
        <v>42496</v>
      </c>
      <c r="Q78" s="67">
        <f>IF(DAY(Mai_Dim1)=1,IF(AND(YEAR(Mai_Dim1+6)=Année_Calendaire,MONTH(Mai_Dim1+6)=5),Mai_Dim1+6,""),IF(AND(YEAR(Mai_Dim1+13)=Année_Calendaire,MONTH(Mai_Dim1+13)=5),Mai_Dim1+13,""))</f>
        <v>42497</v>
      </c>
      <c r="R78" s="67">
        <f>IF(DAY(Mai_Dim1)=1,IF(AND(YEAR(Mai_Dim1+7)=Année_Calendaire,MONTH(Mai_Dim1+7)=5),Mai_Dim1+7,""),IF(AND(YEAR(Mai_Dim1+14)=Année_Calendaire,MONTH(Mai_Dim1+14)=5),Mai_Dim1+14,""))</f>
        <v>42498</v>
      </c>
      <c r="S78" s="96"/>
      <c r="T78" s="78"/>
      <c r="U78" s="67">
        <f>IF(DAY(Mai_Dim1)=1,IF(AND(YEAR(Mai_Dim1+8)=Année_Calendaire,MONTH(Mai_Dim1+8)=5),Mai_Dim1+8,""),IF(AND(YEAR(Mai_Dim1+15)=Année_Calendaire,MONTH(Mai_Dim1+15)=5),Mai_Dim1+15,""))</f>
        <v>42499</v>
      </c>
      <c r="V78" s="67">
        <f>IF(DAY(Mai_Dim1)=1,IF(AND(YEAR(Mai_Dim1+9)=Année_Calendaire,MONTH(Mai_Dim1+9)=5),Mai_Dim1+9,""),IF(AND(YEAR(Mai_Dim1+16)=Année_Calendaire,MONTH(Mai_Dim1+16)=5),Mai_Dim1+16,""))</f>
        <v>42500</v>
      </c>
      <c r="W78" s="67">
        <f>IF(DAY(Mai_Dim1)=1,IF(AND(YEAR(Mai_Dim1+10)=Année_Calendaire,MONTH(Mai_Dim1+10)=5),Mai_Dim1+10,""),IF(AND(YEAR(Mai_Dim1+17)=Année_Calendaire,MONTH(Mai_Dim1+17)=5),Mai_Dim1+17,""))</f>
        <v>42501</v>
      </c>
      <c r="X78" s="67">
        <f>IF(DAY(Mai_Dim1)=1,IF(AND(YEAR(Mai_Dim1+11)=Année_Calendaire,MONTH(Mai_Dim1+11)=5),Mai_Dim1+11,""),IF(AND(YEAR(Mai_Dim1+18)=Année_Calendaire,MONTH(Mai_Dim1+18)=5),Mai_Dim1+18,""))</f>
        <v>42502</v>
      </c>
      <c r="Y78" s="67">
        <f>IF(DAY(Mai_Dim1)=1,IF(AND(YEAR(Mai_Dim1+12)=Année_Calendaire,MONTH(Mai_Dim1+12)=5),Mai_Dim1+12,""),IF(AND(YEAR(Mai_Dim1+19)=Année_Calendaire,MONTH(Mai_Dim1+19)=5),Mai_Dim1+19,""))</f>
        <v>42503</v>
      </c>
      <c r="Z78" s="67">
        <f>IF(DAY(Mai_Dim1)=1,IF(AND(YEAR(Mai_Dim1+13)=Année_Calendaire,MONTH(Mai_Dim1+13)=5),Mai_Dim1+13,""),IF(AND(YEAR(Mai_Dim1+20)=Année_Calendaire,MONTH(Mai_Dim1+20)=5),Mai_Dim1+20,""))</f>
        <v>42504</v>
      </c>
      <c r="AA78" s="67">
        <f>IF(DAY(Mai_Dim1)=1,IF(AND(YEAR(Mai_Dim1+14)=Année_Calendaire,MONTH(Mai_Dim1+14)=5),Mai_Dim1+14,""),IF(AND(YEAR(Mai_Dim1+21)=Année_Calendaire,MONTH(Mai_Dim1+21)=5),Mai_Dim1+21,""))</f>
        <v>42505</v>
      </c>
      <c r="AB78" s="96"/>
      <c r="AC78" s="78"/>
      <c r="AD78" s="67">
        <f>IF(DAY(Mai_Dim1)=1,IF(AND(YEAR(Mai_Dim1+15)=Année_Calendaire,MONTH(Mai_Dim1+15)=5),Mai_Dim1+15,""),IF(AND(YEAR(Mai_Dim1+22)=Année_Calendaire,MONTH(Mai_Dim1+22)=5),Mai_Dim1+22,""))</f>
        <v>42506</v>
      </c>
      <c r="AE78" s="67">
        <f>IF(DAY(Mai_Dim1)=1,IF(AND(YEAR(Mai_Dim1+16)=Année_Calendaire,MONTH(Mai_Dim1+16)=5),Mai_Dim1+16,""),IF(AND(YEAR(Mai_Dim1+23)=Année_Calendaire,MONTH(Mai_Dim1+23)=5),Mai_Dim1+23,""))</f>
        <v>42507</v>
      </c>
      <c r="AF78" s="67">
        <f>IF(DAY(Mai_Dim1)=1,IF(AND(YEAR(Mai_Dim1+17)=Année_Calendaire,MONTH(Mai_Dim1+17)=5),Mai_Dim1+17,""),IF(AND(YEAR(Mai_Dim1+24)=Année_Calendaire,MONTH(Mai_Dim1+24)=5),Mai_Dim1+24,""))</f>
        <v>42508</v>
      </c>
      <c r="AG78" s="67">
        <f>IF(DAY(Mai_Dim1)=1,IF(AND(YEAR(Mai_Dim1+18)=Année_Calendaire,MONTH(Mai_Dim1+18)=5),Mai_Dim1+18,""),IF(AND(YEAR(Mai_Dim1+25)=Année_Calendaire,MONTH(Mai_Dim1+25)=5),Mai_Dim1+25,""))</f>
        <v>42509</v>
      </c>
      <c r="AH78" s="67">
        <f>IF(DAY(Mai_Dim1)=1,IF(AND(YEAR(Mai_Dim1+19)=Année_Calendaire,MONTH(Mai_Dim1+19)=5),Mai_Dim1+19,""),IF(AND(YEAR(Mai_Dim1+26)=Année_Calendaire,MONTH(Mai_Dim1+26)=5),Mai_Dim1+26,""))</f>
        <v>42510</v>
      </c>
      <c r="AI78" s="67">
        <f>IF(DAY(Mai_Dim1)=1,IF(AND(YEAR(Mai_Dim1+20)=Année_Calendaire,MONTH(Mai_Dim1+20)=5),Mai_Dim1+20,""),IF(AND(YEAR(Mai_Dim1+27)=Année_Calendaire,MONTH(Mai_Dim1+27)=5),Mai_Dim1+27,""))</f>
        <v>42511</v>
      </c>
      <c r="AJ78" s="67">
        <f>IF(DAY(Mai_Dim1)=1,IF(AND(YEAR(Mai_Dim1+21)=Année_Calendaire,MONTH(Mai_Dim1+21)=5),Mai_Dim1+21,""),IF(AND(YEAR(Mai_Dim1+28)=Année_Calendaire,MONTH(Mai_Dim1+28)=5),Mai_Dim1+28,""))</f>
        <v>42512</v>
      </c>
      <c r="AK78" s="96"/>
      <c r="AL78" s="78"/>
      <c r="AM78" s="67">
        <f>IF(DAY(Mai_Dim1)=1,IF(AND(YEAR(Mai_Dim1+22)=Année_Calendaire,MONTH(Mai_Dim1+22)=5),Mai_Dim1+22,""),IF(AND(YEAR(Mai_Dim1+29)=Année_Calendaire,MONTH(Mai_Dim1+29)=5),Mai_Dim1+29,""))</f>
        <v>42513</v>
      </c>
      <c r="AN78" s="67">
        <f>IF(DAY(Mai_Dim1)=1,IF(AND(YEAR(Mai_Dim1+23)=Année_Calendaire,MONTH(Mai_Dim1+23)=5),Mai_Dim1+23,""),IF(AND(YEAR(Mai_Dim1+30)=Année_Calendaire,MONTH(Mai_Dim1+30)=5),Mai_Dim1+30,""))</f>
        <v>42514</v>
      </c>
      <c r="AO78" s="67">
        <f>IF(DAY(Mai_Dim1)=1,IF(AND(YEAR(Mai_Dim1+24)=Année_Calendaire,MONTH(Mai_Dim1+24)=5),Mai_Dim1+24,""),IF(AND(YEAR(Mai_Dim1+31)=Année_Calendaire,MONTH(Mai_Dim1+31)=5),Mai_Dim1+31,""))</f>
        <v>42515</v>
      </c>
      <c r="AP78" s="67">
        <f>IF(DAY(Mai_Dim1)=1,IF(AND(YEAR(Mai_Dim1+25)=Année_Calendaire,MONTH(Mai_Dim1+25)=5),Mai_Dim1+25,""),IF(AND(YEAR(Mai_Dim1+32)=Année_Calendaire,MONTH(Mai_Dim1+32)=5),Mai_Dim1+32,""))</f>
        <v>42516</v>
      </c>
      <c r="AQ78" s="67">
        <f>IF(DAY(Mai_Dim1)=1,IF(AND(YEAR(Mai_Dim1+26)=Année_Calendaire,MONTH(Mai_Dim1+26)=5),Mai_Dim1+26,""),IF(AND(YEAR(Mai_Dim1+33)=Année_Calendaire,MONTH(Mai_Dim1+33)=5),Mai_Dim1+33,""))</f>
        <v>42517</v>
      </c>
      <c r="AR78" s="67">
        <f>IF(DAY(Mai_Dim1)=1,IF(AND(YEAR(Mai_Dim1+27)=Année_Calendaire,MONTH(Mai_Dim1+27)=5),Mai_Dim1+27,""),IF(AND(YEAR(Mai_Dim1+34)=Année_Calendaire,MONTH(Mai_Dim1+34)=5),Mai_Dim1+34,""))</f>
        <v>42518</v>
      </c>
      <c r="AS78" s="67">
        <f>IF(DAY(Mai_Dim1)=1,IF(AND(YEAR(Mai_Dim1+28)=Année_Calendaire,MONTH(Mai_Dim1+28)=5),Mai_Dim1+28,""),IF(AND(YEAR(Mai_Dim1+35)=Année_Calendaire,MONTH(Mai_Dim1+35)=5),Mai_Dim1+35,""))</f>
        <v>42519</v>
      </c>
      <c r="AT78" s="96"/>
      <c r="AU78" s="78"/>
      <c r="AV78" s="61">
        <f>IF(DAY(Mai_Dim1)=1,IF(AND(YEAR(Mai_Dim1+29)=Année_Calendaire,MONTH(Mai_Dim1+29)=5),Mai_Dim1+29,""),IF(AND(YEAR(Mai_Dim1+36)=Année_Calendaire,MONTH(Mai_Dim1+36)=5),Mai_Dim1+36,""))</f>
        <v>42520</v>
      </c>
      <c r="AW78" s="61">
        <f>IF(DAY(Mai_Dim1)=1,IF(AND(YEAR(Mai_Dim1+30)=Année_Calendaire,MONTH(Mai_Dim1+30)=5),Mai_Dim1+30,""),IF(AND(YEAR(Mai_Dim1+37)=Année_Calendaire,MONTH(Mai_Dim1+37)=5),Mai_Dim1+37,""))</f>
        <v>42521</v>
      </c>
      <c r="AX78" s="96"/>
      <c r="AY78" s="96"/>
      <c r="AZ78" s="97"/>
      <c r="BA78" s="97"/>
      <c r="BB78" s="52"/>
      <c r="BC78" s="52"/>
      <c r="BD78" s="52"/>
      <c r="BE78" s="52"/>
      <c r="BF78" s="35"/>
    </row>
    <row r="79" spans="1:58" s="8" customFormat="1" ht="15" customHeight="1" x14ac:dyDescent="0.25">
      <c r="A79" s="21" t="s">
        <v>2</v>
      </c>
      <c r="B79" s="81"/>
      <c r="C79" s="60">
        <f>IFERROR(VLOOKUP(B77,DATA!$A:$H,2,TRUE),0)</f>
        <v>0</v>
      </c>
      <c r="D79" s="60">
        <f>IFERROR(VLOOKUP(B77,DATA!$A:$H,3,TRUE),0)</f>
        <v>0</v>
      </c>
      <c r="E79" s="60">
        <f>IFERROR(VLOOKUP(B77,DATA!$A:$H,4,TRUE),0)</f>
        <v>0</v>
      </c>
      <c r="F79" s="60">
        <f>IFERROR(VLOOKUP(B77,DATA!$A:$H,5,TRUE),0)</f>
        <v>0</v>
      </c>
      <c r="G79" s="60">
        <f>IFERROR(VLOOKUP(B77,DATA!$A:$H,6,TRUE),0)</f>
        <v>0</v>
      </c>
      <c r="H79" s="60">
        <f>IFERROR(VLOOKUP(B77,DATA!$A:$H,7,TRUE),0)</f>
        <v>0</v>
      </c>
      <c r="I79" s="60">
        <f>IFERROR(VLOOKUP(B77,DATA!$A:$H,8,TRUE),0)</f>
        <v>0</v>
      </c>
      <c r="J79" s="60"/>
      <c r="K79" s="60"/>
      <c r="L79" s="60">
        <f>IFERROR(VLOOKUP(K77,DATA!$A:$H,2,TRUE),0)</f>
        <v>0</v>
      </c>
      <c r="M79" s="60">
        <f>IFERROR(VLOOKUP(K77,DATA!$A:$H,3,TRUE),0)</f>
        <v>0</v>
      </c>
      <c r="N79" s="60">
        <f>IFERROR(VLOOKUP(K77,DATA!$A:$H,4,TRUE),0)</f>
        <v>0</v>
      </c>
      <c r="O79" s="60">
        <f>IFERROR(VLOOKUP(K77,DATA!$A:$H,5,TRUE),0)</f>
        <v>0</v>
      </c>
      <c r="P79" s="60">
        <f>IFERROR(VLOOKUP(K77,DATA!$A:$H,6,TRUE),0)</f>
        <v>0</v>
      </c>
      <c r="Q79" s="60">
        <f>IFERROR(VLOOKUP(K77,DATA!$A:$H,7,TRUE),0)</f>
        <v>0</v>
      </c>
      <c r="R79" s="60">
        <f>IFERROR(VLOOKUP(K77,DATA!$A:$H,8,TRUE),0)</f>
        <v>0</v>
      </c>
      <c r="S79" s="60"/>
      <c r="T79" s="60"/>
      <c r="U79" s="60">
        <f>IFERROR(VLOOKUP(T77,DATA!$A:$H,2,TRUE),0)</f>
        <v>0</v>
      </c>
      <c r="V79" s="60">
        <f>IFERROR(VLOOKUP(T77,DATA!$A:$H,3,TRUE),0)</f>
        <v>0</v>
      </c>
      <c r="W79" s="60">
        <f>IFERROR(VLOOKUP(T77,DATA!$A:$H,4,TRUE),0)</f>
        <v>0</v>
      </c>
      <c r="X79" s="60">
        <f>IFERROR(VLOOKUP(T77,DATA!$A:$H,5,TRUE),0)</f>
        <v>0</v>
      </c>
      <c r="Y79" s="60">
        <f>IFERROR(VLOOKUP(T77,DATA!$A:$H,6,TRUE),0)</f>
        <v>0</v>
      </c>
      <c r="Z79" s="60">
        <f>IFERROR(VLOOKUP(T77,DATA!$A:$H,7,TRUE),0)</f>
        <v>0</v>
      </c>
      <c r="AA79" s="60">
        <f>IFERROR(VLOOKUP(T77,DATA!$A:$H,8,TRUE),0)</f>
        <v>0</v>
      </c>
      <c r="AB79" s="60"/>
      <c r="AC79" s="60"/>
      <c r="AD79" s="60">
        <f>IFERROR(VLOOKUP(AC77,DATA!$A:$H,2,TRUE),0)</f>
        <v>0</v>
      </c>
      <c r="AE79" s="60">
        <f>IFERROR(VLOOKUP(AC77,DATA!$A:$H,3,TRUE),0)</f>
        <v>0</v>
      </c>
      <c r="AF79" s="60">
        <f>IFERROR(VLOOKUP(AC77,DATA!$A:$H,4,TRUE),0)</f>
        <v>0</v>
      </c>
      <c r="AG79" s="60">
        <f>IFERROR(VLOOKUP(AC77,DATA!$A:$H,5,TRUE),0)</f>
        <v>0</v>
      </c>
      <c r="AH79" s="60">
        <f>IFERROR(VLOOKUP(AC77,DATA!$A:$H,6,TRUE),0)</f>
        <v>0</v>
      </c>
      <c r="AI79" s="60">
        <f>IFERROR(VLOOKUP(AC77,DATA!$A:$H,7,TRUE),0)</f>
        <v>0</v>
      </c>
      <c r="AJ79" s="60">
        <f>IFERROR(VLOOKUP(AC77,DATA!$A:$H,8,TRUE),0)</f>
        <v>0</v>
      </c>
      <c r="AK79" s="60"/>
      <c r="AL79" s="60"/>
      <c r="AM79" s="60">
        <f>IFERROR(VLOOKUP(AL77,DATA!$A:$H,2,TRUE),0)</f>
        <v>0</v>
      </c>
      <c r="AN79" s="60">
        <f>IFERROR(VLOOKUP(AL77,DATA!$A:$H,3,TRUE),0)</f>
        <v>0</v>
      </c>
      <c r="AO79" s="60">
        <f>IFERROR(VLOOKUP(AL77,DATA!$A:$H,4,TRUE),0)</f>
        <v>0</v>
      </c>
      <c r="AP79" s="60">
        <f>IFERROR(VLOOKUP(AL77,DATA!$A:$H,5,TRUE),0)</f>
        <v>0</v>
      </c>
      <c r="AQ79" s="60">
        <f>IFERROR(VLOOKUP(AL77,DATA!$A:$H,6,TRUE),0)</f>
        <v>0</v>
      </c>
      <c r="AR79" s="60">
        <f>IFERROR(VLOOKUP(AL77,DATA!$A:$H,7,TRUE),0)</f>
        <v>0</v>
      </c>
      <c r="AS79" s="60">
        <f>IFERROR(VLOOKUP(AL77,DATA!$A:$H,8,TRUE),0)</f>
        <v>0</v>
      </c>
      <c r="AT79" s="60"/>
      <c r="AU79" s="60"/>
      <c r="AV79" s="60" t="str">
        <f>IFERROR(VLOOKUP(AU77,DATA!$A:$H,2,TRUE),0)</f>
        <v>matin</v>
      </c>
      <c r="AW79" s="60">
        <f>IFERROR(VLOOKUP(AU77,DATA!$A:$H,3,TRUE),0)</f>
        <v>0</v>
      </c>
      <c r="AX79" s="60"/>
      <c r="AY79" s="63"/>
      <c r="AZ79" s="53"/>
      <c r="BA79" s="53"/>
      <c r="BB79" s="53"/>
      <c r="BC79" s="53"/>
      <c r="BD79" s="42"/>
      <c r="BE79" s="42"/>
      <c r="BF79" s="32"/>
    </row>
    <row r="80" spans="1:58" s="7" customFormat="1" ht="15" customHeight="1" x14ac:dyDescent="0.25">
      <c r="A80" s="21" t="s">
        <v>12</v>
      </c>
      <c r="B80" s="81"/>
      <c r="C80" s="60">
        <f t="shared" ref="C80:I80" si="195">IF(C79="Matin",1,IF(C79="AM",1,0))</f>
        <v>0</v>
      </c>
      <c r="D80" s="60">
        <f t="shared" si="195"/>
        <v>0</v>
      </c>
      <c r="E80" s="60">
        <f t="shared" si="195"/>
        <v>0</v>
      </c>
      <c r="F80" s="60">
        <f t="shared" si="195"/>
        <v>0</v>
      </c>
      <c r="G80" s="60">
        <f t="shared" si="195"/>
        <v>0</v>
      </c>
      <c r="H80" s="60">
        <f t="shared" si="195"/>
        <v>0</v>
      </c>
      <c r="I80" s="60">
        <f t="shared" si="195"/>
        <v>0</v>
      </c>
      <c r="J80" s="60">
        <f>SUM(C80:I80)</f>
        <v>0</v>
      </c>
      <c r="K80" s="60"/>
      <c r="L80" s="60">
        <f t="shared" ref="L80:R80" si="196">IF(L79="Matin",1,IF(L79="AM",1,0))</f>
        <v>0</v>
      </c>
      <c r="M80" s="60">
        <f t="shared" si="196"/>
        <v>0</v>
      </c>
      <c r="N80" s="60">
        <f t="shared" si="196"/>
        <v>0</v>
      </c>
      <c r="O80" s="60">
        <f t="shared" si="196"/>
        <v>0</v>
      </c>
      <c r="P80" s="60">
        <f t="shared" si="196"/>
        <v>0</v>
      </c>
      <c r="Q80" s="60">
        <f t="shared" si="196"/>
        <v>0</v>
      </c>
      <c r="R80" s="60">
        <f t="shared" si="196"/>
        <v>0</v>
      </c>
      <c r="S80" s="60">
        <f>SUM(L80:R80)</f>
        <v>0</v>
      </c>
      <c r="T80" s="60"/>
      <c r="U80" s="60">
        <f t="shared" ref="U80:AA80" si="197">IF(U79="Matin",1,IF(U79="AM",1,0))</f>
        <v>0</v>
      </c>
      <c r="V80" s="60">
        <f t="shared" si="197"/>
        <v>0</v>
      </c>
      <c r="W80" s="60">
        <f t="shared" si="197"/>
        <v>0</v>
      </c>
      <c r="X80" s="60">
        <f t="shared" si="197"/>
        <v>0</v>
      </c>
      <c r="Y80" s="60">
        <f t="shared" si="197"/>
        <v>0</v>
      </c>
      <c r="Z80" s="60">
        <f t="shared" si="197"/>
        <v>0</v>
      </c>
      <c r="AA80" s="60">
        <f t="shared" si="197"/>
        <v>0</v>
      </c>
      <c r="AB80" s="60">
        <f>SUM(U80:AA80)</f>
        <v>0</v>
      </c>
      <c r="AC80" s="60"/>
      <c r="AD80" s="60">
        <f t="shared" ref="AD80:AJ80" si="198">IF(AD79="Matin",1,IF(AD79="AM",1,0))</f>
        <v>0</v>
      </c>
      <c r="AE80" s="60">
        <f t="shared" si="198"/>
        <v>0</v>
      </c>
      <c r="AF80" s="60">
        <f t="shared" si="198"/>
        <v>0</v>
      </c>
      <c r="AG80" s="60">
        <f t="shared" si="198"/>
        <v>0</v>
      </c>
      <c r="AH80" s="60">
        <f t="shared" si="198"/>
        <v>0</v>
      </c>
      <c r="AI80" s="60">
        <f t="shared" si="198"/>
        <v>0</v>
      </c>
      <c r="AJ80" s="60">
        <f t="shared" si="198"/>
        <v>0</v>
      </c>
      <c r="AK80" s="60">
        <f>SUM(AD80:AJ80)</f>
        <v>0</v>
      </c>
      <c r="AL80" s="60"/>
      <c r="AM80" s="60">
        <f t="shared" ref="AM80:AS80" si="199">IF(AM79="Matin",1,IF(AM79="AM",1,0))</f>
        <v>0</v>
      </c>
      <c r="AN80" s="60">
        <f t="shared" si="199"/>
        <v>0</v>
      </c>
      <c r="AO80" s="60">
        <f t="shared" si="199"/>
        <v>0</v>
      </c>
      <c r="AP80" s="60">
        <f t="shared" si="199"/>
        <v>0</v>
      </c>
      <c r="AQ80" s="60">
        <f t="shared" si="199"/>
        <v>0</v>
      </c>
      <c r="AR80" s="60">
        <f t="shared" si="199"/>
        <v>0</v>
      </c>
      <c r="AS80" s="60">
        <f t="shared" si="199"/>
        <v>0</v>
      </c>
      <c r="AT80" s="60">
        <f>SUM(AM80:AS80)</f>
        <v>0</v>
      </c>
      <c r="AU80" s="60"/>
      <c r="AV80" s="60">
        <f t="shared" ref="AV80:AW80" si="200">IF(AV79="Matin",1,IF(AV79="AM",1,0))</f>
        <v>1</v>
      </c>
      <c r="AW80" s="60">
        <f t="shared" si="200"/>
        <v>0</v>
      </c>
      <c r="AX80" s="60">
        <f t="shared" ref="AX80:AX87" si="201">SUM(AV80:AW80)</f>
        <v>1</v>
      </c>
      <c r="AY80" s="60">
        <f>J80+S80+AB80+AK80+AT80+AX80</f>
        <v>1</v>
      </c>
      <c r="AZ80" s="20"/>
      <c r="BA80" s="20"/>
      <c r="BB80" s="20"/>
      <c r="BC80" s="20"/>
      <c r="BD80" s="20"/>
      <c r="BE80" s="20"/>
      <c r="BF80" s="29"/>
    </row>
    <row r="81" spans="1:58" s="7" customFormat="1" ht="15" customHeight="1" x14ac:dyDescent="0.25">
      <c r="A81" s="21" t="s">
        <v>4</v>
      </c>
      <c r="B81" s="81"/>
      <c r="C81" s="60">
        <f>IF(C82&gt;=1,1,0)</f>
        <v>0</v>
      </c>
      <c r="D81" s="60">
        <f>IF(D82&gt;=1,1,0)</f>
        <v>0</v>
      </c>
      <c r="E81" s="60">
        <f t="shared" ref="E81:I81" si="202">IF(E82&gt;=1,1,0)</f>
        <v>0</v>
      </c>
      <c r="F81" s="60">
        <f t="shared" si="202"/>
        <v>0</v>
      </c>
      <c r="G81" s="60">
        <f t="shared" si="202"/>
        <v>0</v>
      </c>
      <c r="H81" s="60">
        <f t="shared" si="202"/>
        <v>0</v>
      </c>
      <c r="I81" s="60">
        <f t="shared" si="202"/>
        <v>0</v>
      </c>
      <c r="J81" s="60">
        <f t="shared" ref="J81:J91" si="203">SUM(C81:I81)</f>
        <v>0</v>
      </c>
      <c r="K81" s="60"/>
      <c r="L81" s="60">
        <f>IF(L82&gt;=1,1,0)</f>
        <v>0</v>
      </c>
      <c r="M81" s="60">
        <f t="shared" ref="M81:R81" si="204">IF(M82&gt;=1,1,0)</f>
        <v>0</v>
      </c>
      <c r="N81" s="60">
        <f t="shared" si="204"/>
        <v>0</v>
      </c>
      <c r="O81" s="60">
        <f t="shared" si="204"/>
        <v>0</v>
      </c>
      <c r="P81" s="60">
        <f t="shared" si="204"/>
        <v>0</v>
      </c>
      <c r="Q81" s="60">
        <f t="shared" si="204"/>
        <v>0</v>
      </c>
      <c r="R81" s="60">
        <f t="shared" si="204"/>
        <v>0</v>
      </c>
      <c r="S81" s="60">
        <f t="shared" ref="S81:S91" si="205">SUM(L81:R81)</f>
        <v>0</v>
      </c>
      <c r="T81" s="60"/>
      <c r="U81" s="60">
        <f>IF(U82&gt;=1,1,0)</f>
        <v>0</v>
      </c>
      <c r="V81" s="60">
        <f t="shared" ref="V81:AA81" si="206">IF(V82&gt;=1,1,0)</f>
        <v>0</v>
      </c>
      <c r="W81" s="60">
        <f t="shared" si="206"/>
        <v>0</v>
      </c>
      <c r="X81" s="60">
        <f t="shared" si="206"/>
        <v>0</v>
      </c>
      <c r="Y81" s="60">
        <f t="shared" si="206"/>
        <v>0</v>
      </c>
      <c r="Z81" s="60">
        <f t="shared" si="206"/>
        <v>0</v>
      </c>
      <c r="AA81" s="60">
        <f t="shared" si="206"/>
        <v>0</v>
      </c>
      <c r="AB81" s="60">
        <f t="shared" ref="AB81:AB91" si="207">SUM(U81:AA81)</f>
        <v>0</v>
      </c>
      <c r="AC81" s="60"/>
      <c r="AD81" s="60">
        <f>IF(AD82&gt;=1,1,0)</f>
        <v>0</v>
      </c>
      <c r="AE81" s="60">
        <f t="shared" ref="AE81:AJ81" si="208">IF(AE82&gt;=1,1,0)</f>
        <v>0</v>
      </c>
      <c r="AF81" s="60">
        <f t="shared" si="208"/>
        <v>0</v>
      </c>
      <c r="AG81" s="60">
        <f t="shared" si="208"/>
        <v>0</v>
      </c>
      <c r="AH81" s="60">
        <f t="shared" si="208"/>
        <v>0</v>
      </c>
      <c r="AI81" s="60">
        <f t="shared" si="208"/>
        <v>0</v>
      </c>
      <c r="AJ81" s="60">
        <f t="shared" si="208"/>
        <v>0</v>
      </c>
      <c r="AK81" s="60">
        <f t="shared" ref="AK81:AK91" si="209">SUM(AD81:AJ81)</f>
        <v>0</v>
      </c>
      <c r="AL81" s="60"/>
      <c r="AM81" s="60">
        <f>IF(AM82&gt;=1,1,0)</f>
        <v>0</v>
      </c>
      <c r="AN81" s="60">
        <f t="shared" ref="AN81:AS81" si="210">IF(AN82&gt;=1,1,0)</f>
        <v>0</v>
      </c>
      <c r="AO81" s="60">
        <f t="shared" si="210"/>
        <v>0</v>
      </c>
      <c r="AP81" s="60">
        <f t="shared" si="210"/>
        <v>0</v>
      </c>
      <c r="AQ81" s="60">
        <f t="shared" si="210"/>
        <v>0</v>
      </c>
      <c r="AR81" s="60">
        <f t="shared" si="210"/>
        <v>0</v>
      </c>
      <c r="AS81" s="60">
        <f t="shared" si="210"/>
        <v>0</v>
      </c>
      <c r="AT81" s="60">
        <f t="shared" ref="AT81:AT91" si="211">SUM(AM81:AS81)</f>
        <v>0</v>
      </c>
      <c r="AU81" s="60"/>
      <c r="AV81" s="60">
        <f>IF(AV82&gt;=1,1,0)</f>
        <v>1</v>
      </c>
      <c r="AW81" s="60">
        <f t="shared" ref="AW81" si="212">IF(AW82&gt;=1,1,0)</f>
        <v>0</v>
      </c>
      <c r="AX81" s="60">
        <f t="shared" si="201"/>
        <v>1</v>
      </c>
      <c r="AY81" s="60">
        <f t="shared" ref="AY81:AY90" si="213">J81+S81+AB81+AK81+AT81+AX81</f>
        <v>1</v>
      </c>
      <c r="AZ81" s="13"/>
      <c r="BA81" s="13"/>
      <c r="BB81" s="13"/>
      <c r="BC81" s="13"/>
      <c r="BD81" s="13"/>
      <c r="BE81" s="13"/>
      <c r="BF81" s="41"/>
    </row>
    <row r="82" spans="1:58" s="7" customFormat="1" ht="15" customHeight="1" x14ac:dyDescent="0.25">
      <c r="A82" s="21" t="s">
        <v>3</v>
      </c>
      <c r="B82" s="81"/>
      <c r="C82" s="60">
        <f>IF(C79="Matin",8,IF(C79="AM",8,IF(C79="nuit",8,0)))</f>
        <v>0</v>
      </c>
      <c r="D82" s="60">
        <f t="shared" ref="D82:I82" si="214">IF(D79="Matin",8,IF(D79="AM",8,IF(D79="nuit",8,0)))</f>
        <v>0</v>
      </c>
      <c r="E82" s="60">
        <f t="shared" si="214"/>
        <v>0</v>
      </c>
      <c r="F82" s="60">
        <f t="shared" si="214"/>
        <v>0</v>
      </c>
      <c r="G82" s="60">
        <f t="shared" si="214"/>
        <v>0</v>
      </c>
      <c r="H82" s="60">
        <f t="shared" si="214"/>
        <v>0</v>
      </c>
      <c r="I82" s="60">
        <f t="shared" si="214"/>
        <v>0</v>
      </c>
      <c r="J82" s="60">
        <f t="shared" si="203"/>
        <v>0</v>
      </c>
      <c r="K82" s="60"/>
      <c r="L82" s="60">
        <f>IF(L79="Matin",8,IF(L79="AM",8,IF(L79="nuit",8,0)))</f>
        <v>0</v>
      </c>
      <c r="M82" s="60">
        <f t="shared" ref="M82:R82" si="215">IF(M79="Matin",8,IF(M79="AM",8,IF(M79="nuit",8,0)))</f>
        <v>0</v>
      </c>
      <c r="N82" s="60">
        <f t="shared" si="215"/>
        <v>0</v>
      </c>
      <c r="O82" s="60">
        <f t="shared" si="215"/>
        <v>0</v>
      </c>
      <c r="P82" s="60">
        <f t="shared" si="215"/>
        <v>0</v>
      </c>
      <c r="Q82" s="60">
        <f t="shared" si="215"/>
        <v>0</v>
      </c>
      <c r="R82" s="60">
        <f t="shared" si="215"/>
        <v>0</v>
      </c>
      <c r="S82" s="60">
        <f t="shared" si="205"/>
        <v>0</v>
      </c>
      <c r="T82" s="60"/>
      <c r="U82" s="60">
        <f>IF(U79="Matin",8,IF(U79="AM",8,IF(U79="nuit",8,0)))</f>
        <v>0</v>
      </c>
      <c r="V82" s="60">
        <f t="shared" ref="V82:AA82" si="216">IF(V79="Matin",8,IF(V79="AM",8,IF(V79="nuit",8,0)))</f>
        <v>0</v>
      </c>
      <c r="W82" s="60">
        <f t="shared" si="216"/>
        <v>0</v>
      </c>
      <c r="X82" s="60">
        <f t="shared" si="216"/>
        <v>0</v>
      </c>
      <c r="Y82" s="60">
        <f t="shared" si="216"/>
        <v>0</v>
      </c>
      <c r="Z82" s="60">
        <f t="shared" si="216"/>
        <v>0</v>
      </c>
      <c r="AA82" s="60">
        <f t="shared" si="216"/>
        <v>0</v>
      </c>
      <c r="AB82" s="60">
        <f t="shared" si="207"/>
        <v>0</v>
      </c>
      <c r="AC82" s="60"/>
      <c r="AD82" s="60">
        <f>IF(AD79="Matin",8,IF(AD79="AM",8,IF(AD79="nuit",8,0)))</f>
        <v>0</v>
      </c>
      <c r="AE82" s="60">
        <f t="shared" ref="AE82:AJ82" si="217">IF(AE79="Matin",8,IF(AE79="AM",8,IF(AE79="nuit",8,0)))</f>
        <v>0</v>
      </c>
      <c r="AF82" s="60">
        <f t="shared" si="217"/>
        <v>0</v>
      </c>
      <c r="AG82" s="60">
        <f t="shared" si="217"/>
        <v>0</v>
      </c>
      <c r="AH82" s="60">
        <f t="shared" si="217"/>
        <v>0</v>
      </c>
      <c r="AI82" s="60">
        <f t="shared" si="217"/>
        <v>0</v>
      </c>
      <c r="AJ82" s="60">
        <f t="shared" si="217"/>
        <v>0</v>
      </c>
      <c r="AK82" s="60">
        <f t="shared" si="209"/>
        <v>0</v>
      </c>
      <c r="AL82" s="60"/>
      <c r="AM82" s="60">
        <f>IF(AM79="Matin",8,IF(AM79="AM",8,IF(AM79="nuit",8,0)))</f>
        <v>0</v>
      </c>
      <c r="AN82" s="60">
        <f t="shared" ref="AN82:AS82" si="218">IF(AN79="Matin",8,IF(AN79="AM",8,IF(AN79="nuit",8,0)))</f>
        <v>0</v>
      </c>
      <c r="AO82" s="60">
        <f t="shared" si="218"/>
        <v>0</v>
      </c>
      <c r="AP82" s="60">
        <f t="shared" si="218"/>
        <v>0</v>
      </c>
      <c r="AQ82" s="60">
        <f t="shared" si="218"/>
        <v>0</v>
      </c>
      <c r="AR82" s="60">
        <f t="shared" si="218"/>
        <v>0</v>
      </c>
      <c r="AS82" s="60">
        <f t="shared" si="218"/>
        <v>0</v>
      </c>
      <c r="AT82" s="60">
        <f t="shared" si="211"/>
        <v>0</v>
      </c>
      <c r="AU82" s="60"/>
      <c r="AV82" s="60">
        <f>IF(AV79="Matin",8,IF(AV79="AM",8,IF(AV79="nuit",8,0)))</f>
        <v>8</v>
      </c>
      <c r="AW82" s="60">
        <f t="shared" ref="AW82" si="219">IF(AW79="Matin",8,IF(AW79="AM",8,IF(AW79="nuit",8,0)))</f>
        <v>0</v>
      </c>
      <c r="AX82" s="60">
        <f t="shared" si="201"/>
        <v>8</v>
      </c>
      <c r="AY82" s="60">
        <f t="shared" si="213"/>
        <v>8</v>
      </c>
      <c r="AZ82" s="31"/>
      <c r="BA82" s="31"/>
      <c r="BB82" s="31"/>
      <c r="BC82" s="31"/>
      <c r="BD82" s="31"/>
      <c r="BE82" s="31"/>
      <c r="BF82" s="41"/>
    </row>
    <row r="83" spans="1:58" s="7" customFormat="1" ht="15" customHeight="1" x14ac:dyDescent="0.25">
      <c r="A83" s="36" t="s">
        <v>20</v>
      </c>
      <c r="B83" s="82"/>
      <c r="C83" s="66">
        <f>IF(C77&lt;&gt;"Dim",IF(C82&gt;32,MIN(C82,35)-32,0),0)</f>
        <v>0</v>
      </c>
      <c r="D83" s="66">
        <f>IF(D77&lt;&gt;"Dim",IF(SUM($C82:D82)&gt;32,MIN(SUM($C82:D82),35)-32-SUM($C83:C83),0),0)</f>
        <v>0</v>
      </c>
      <c r="E83" s="66">
        <f>IF(E77&lt;&gt;"Dim",IF(SUM($C82:E82)&gt;32,MIN(SUM($C82:E82),35)-32-SUM($C83:D83),0),0)</f>
        <v>0</v>
      </c>
      <c r="F83" s="66">
        <f>IF(F77&lt;&gt;"Dim",IF(SUM($C82:F82)&gt;32,MIN(SUM($C82:F82),35)-32-SUM($C83:E83),0),0)</f>
        <v>0</v>
      </c>
      <c r="G83" s="66">
        <f>IF(G77&lt;&gt;"Dim",IF(SUM($C82:G82)&gt;32,MIN(SUM($C82:G82),35)-32-SUM($C83:F83),0),0)</f>
        <v>0</v>
      </c>
      <c r="H83" s="66">
        <f>IF(H77&lt;&gt;"Dim",IF(SUM($C82:H82)&gt;32,MIN(SUM($C82:H82),35)-32-SUM($C83:G83),0),0)</f>
        <v>0</v>
      </c>
      <c r="I83" s="66">
        <f>IF(I77&lt;&gt;"Dim",IF(SUM($C82:I82)&gt;32,MIN(SUM($C82:I82),35)-32-SUM($C83:H83),0),0)</f>
        <v>0</v>
      </c>
      <c r="J83" s="60">
        <f t="shared" si="203"/>
        <v>0</v>
      </c>
      <c r="K83" s="60"/>
      <c r="L83" s="66">
        <f>IF(L77&lt;&gt;"Dim",IF(L82&gt;32,MIN(L82,35)-32,0),0)</f>
        <v>0</v>
      </c>
      <c r="M83" s="66">
        <f>IF(M77&lt;&gt;"Dim",IF(SUM($L82:M82)&gt;32,MIN(SUM($L82:M82),35)-32-SUM($L83:L83),0),0)</f>
        <v>0</v>
      </c>
      <c r="N83" s="66">
        <f>IF(N77&lt;&gt;"Dim",IF(SUM($L82:N82)&gt;32,MIN(SUM($L82:N82),35)-32-SUM($L83:M83),0),0)</f>
        <v>0</v>
      </c>
      <c r="O83" s="66">
        <f>IF(O77&lt;&gt;"Dim",IF(SUM($L82:O82)&gt;32,MIN(SUM($L82:O82),35)-32-SUM($L83:N83),0),0)</f>
        <v>0</v>
      </c>
      <c r="P83" s="66">
        <f>IF(P77&lt;&gt;"Dim",IF(SUM($L82:P82)&gt;32,MIN(SUM($L82:P82),35)-32-SUM($L83:O83),0),0)</f>
        <v>0</v>
      </c>
      <c r="Q83" s="66">
        <f>IF(Q77&lt;&gt;"Dim",IF(SUM($L82:Q82)&gt;32,MIN(SUM($L82:Q82),35)-32-SUM($L83:P83),0),0)</f>
        <v>0</v>
      </c>
      <c r="R83" s="66">
        <f>IF(R77&lt;&gt;"Dim",IF(SUM($L82:R82)&gt;32,MIN(SUM($L82:R82),35)-32-SUM($L83:Q83),0),0)</f>
        <v>0</v>
      </c>
      <c r="S83" s="60">
        <f t="shared" si="205"/>
        <v>0</v>
      </c>
      <c r="T83" s="60"/>
      <c r="U83" s="66">
        <f>IF(U77&lt;&gt;"Dim",IF(U82&gt;32,MIN(U82,35)-32,0),0)</f>
        <v>0</v>
      </c>
      <c r="V83" s="66">
        <f>IF(V77&lt;&gt;"Dim",IF(SUM($U82:V82)&gt;32,MIN(SUM($U82:V82),35)-32-SUM($U83:U83),0),0)</f>
        <v>0</v>
      </c>
      <c r="W83" s="66">
        <f>IF(W77&lt;&gt;"Dim",IF(SUM($U82:W82)&gt;32,MIN(SUM($U82:W82),35)-32-SUM($U83:V83),0),0)</f>
        <v>0</v>
      </c>
      <c r="X83" s="66">
        <f>IF(X77&lt;&gt;"Dim",IF(SUM($U82:X82)&gt;32,MIN(SUM($U82:X82),35)-32-SUM($U83:W83),0),0)</f>
        <v>0</v>
      </c>
      <c r="Y83" s="66">
        <f>IF(Y77&lt;&gt;"Dim",IF(SUM($U82:Y82)&gt;32,MIN(SUM($U82:Y82),35)-32-SUM($U83:X83),0),0)</f>
        <v>0</v>
      </c>
      <c r="Z83" s="66">
        <f>IF(Z77&lt;&gt;"Dim",IF(SUM($U82:Z82)&gt;32,MIN(SUM($U82:Z82),35)-32-SUM($U83:Y83),0),0)</f>
        <v>0</v>
      </c>
      <c r="AA83" s="66">
        <f>IF(AA77&lt;&gt;"Dim",IF(SUM($U82:AA82)&gt;32,MIN(SUM($U82:AA82),35)-32-SUM($U83:Z83),0),0)</f>
        <v>0</v>
      </c>
      <c r="AB83" s="60">
        <f t="shared" si="207"/>
        <v>0</v>
      </c>
      <c r="AC83" s="60"/>
      <c r="AD83" s="66">
        <f>IF(AD77&lt;&gt;"Dim",IF(AD82&gt;32,MIN(AD82,35)-32,0),0)</f>
        <v>0</v>
      </c>
      <c r="AE83" s="66">
        <f>IF(AE77&lt;&gt;"Dim",IF(SUM($AD82:AE82)&gt;32,MIN(SUM($AD82:AE82),35)-32-SUM($AD83:AD83),0),0)</f>
        <v>0</v>
      </c>
      <c r="AF83" s="66">
        <f>IF(AF77&lt;&gt;"Dim",IF(SUM($AD82:AF82)&gt;32,MIN(SUM($AD82:AF82),35)-32-SUM($AD83:AE83),0),0)</f>
        <v>0</v>
      </c>
      <c r="AG83" s="66">
        <f>IF(AG77&lt;&gt;"Dim",IF(SUM($AD82:AG82)&gt;32,MIN(SUM($AD82:AG82),35)-32-SUM($AD83:AF83),0),0)</f>
        <v>0</v>
      </c>
      <c r="AH83" s="66">
        <f>IF(AH77&lt;&gt;"Dim",IF(SUM($AD82:AH82)&gt;32,MIN(SUM($AD82:AH82),35)-32-SUM($AD83:AG83),0),0)</f>
        <v>0</v>
      </c>
      <c r="AI83" s="66">
        <f>IF(AI77&lt;&gt;"Dim",IF(SUM($AD82:AI82)&gt;32,MIN(SUM($AD82:AI82),35)-32-SUM($AD83:AH83),0),0)</f>
        <v>0</v>
      </c>
      <c r="AJ83" s="66">
        <f>IF(AJ77&lt;&gt;"Dim",IF(SUM($AD82:AJ82)&gt;32,MIN(SUM($AD82:AJ82),35)-32-SUM($AD83:AI83),0),0)</f>
        <v>0</v>
      </c>
      <c r="AK83" s="60">
        <f t="shared" si="209"/>
        <v>0</v>
      </c>
      <c r="AL83" s="60"/>
      <c r="AM83" s="66">
        <f>IF(AM77&lt;&gt;"Dim",IF(AM82&gt;32,MIN(AM82,35)-32,0),0)</f>
        <v>0</v>
      </c>
      <c r="AN83" s="66">
        <f>IF(AN77&lt;&gt;"Dim",IF(SUM($AM82:AN82)&gt;32,MIN(SUM($AM82:AN82),35)-32-SUM($AM83:AM83),0),0)</f>
        <v>0</v>
      </c>
      <c r="AO83" s="66">
        <f>IF(AO77&lt;&gt;"Dim",IF(SUM($AM82:AO82)&gt;32,MIN(SUM($AM82:AO82),35)-32-SUM($AM83:AN83),0),0)</f>
        <v>0</v>
      </c>
      <c r="AP83" s="66">
        <f>IF(AP77&lt;&gt;"Dim",IF(SUM($AM82:AP82)&gt;32,MIN(SUM($AM82:AP82),35)-32-SUM($AM83:AO83),0),0)</f>
        <v>0</v>
      </c>
      <c r="AQ83" s="66">
        <f>IF(AQ77&lt;&gt;"Dim",IF(SUM($AM82:AQ82)&gt;32,MIN(SUM($AM82:AQ82),35)-32-SUM($AM83:AP83),0),0)</f>
        <v>0</v>
      </c>
      <c r="AR83" s="66">
        <f>IF(AR77&lt;&gt;"Dim",IF(SUM($AM82:AR82)&gt;32,MIN(SUM($AM82:AR82),35)-32-SUM($AM83:AQ83),0),0)</f>
        <v>0</v>
      </c>
      <c r="AS83" s="66">
        <f>IF(AS77&lt;&gt;"Dim",IF(SUM($AM82:AS82)&gt;32,MIN(SUM($AM82:AS82),35)-32-SUM($AM83:AR83),0),0)</f>
        <v>0</v>
      </c>
      <c r="AT83" s="60">
        <f t="shared" si="211"/>
        <v>0</v>
      </c>
      <c r="AU83" s="60"/>
      <c r="AV83" s="66">
        <f>IF(AV77&lt;&gt;"Dim",IF(AV82&gt;32,MIN(AV82,35)-32,0),0)</f>
        <v>0</v>
      </c>
      <c r="AW83" s="66">
        <f>IF(AW77&lt;&gt;"Dim",IF(SUM($AV82:AW82)&gt;32,MIN(SUM($AV82:AW82),35)-32-SUM($AV83:AV83),0),0)</f>
        <v>0</v>
      </c>
      <c r="AX83" s="60">
        <f t="shared" si="201"/>
        <v>0</v>
      </c>
      <c r="AY83" s="60">
        <f t="shared" si="213"/>
        <v>0</v>
      </c>
      <c r="AZ83" s="13"/>
      <c r="BA83" s="13"/>
      <c r="BB83" s="13"/>
      <c r="BC83" s="13"/>
      <c r="BD83" s="13"/>
      <c r="BE83" s="13"/>
      <c r="BF83" s="35"/>
    </row>
    <row r="84" spans="1:58" s="7" customFormat="1" ht="15" customHeight="1" x14ac:dyDescent="0.25">
      <c r="A84" s="21" t="s">
        <v>6</v>
      </c>
      <c r="B84" s="81"/>
      <c r="C84" s="66">
        <f>IF(C77&lt;&gt;"Dim",IF(C82&gt;35,(MIN(C82,43)-35),0),0)</f>
        <v>0</v>
      </c>
      <c r="D84" s="66">
        <f>IF(D77&lt;&gt;"Dim",IF(SUM($C82:D82)&gt;35,(MIN(SUM($C82:D82),43)-35-SUM($C84:C84)),0),0)</f>
        <v>0</v>
      </c>
      <c r="E84" s="66">
        <f>IF(E77&lt;&gt;"Dim",IF(SUM($C82:E82)&gt;35,(MIN(SUM($C82:E82),43)-35-SUM($C84:D84)),0),0)</f>
        <v>0</v>
      </c>
      <c r="F84" s="66">
        <f>IF(F77&lt;&gt;"Dim",IF(SUM($C82:F82)&gt;35,(MIN(SUM($C82:F82),43)-35-SUM($C84:E84)),0),0)</f>
        <v>0</v>
      </c>
      <c r="G84" s="66">
        <f>IF(G77&lt;&gt;"Dim",IF(SUM($C82:G82)&gt;35,(MIN(SUM($C82:G82),43)-35-SUM($C84:F84)),0),0)</f>
        <v>0</v>
      </c>
      <c r="H84" s="66">
        <f>IF(H77&lt;&gt;"Dim",IF(SUM($C82:H82)&gt;35,(MIN(SUM($C82:H82),43)-35-SUM($C84:G84)),0),0)</f>
        <v>0</v>
      </c>
      <c r="I84" s="66">
        <f>IF(I77&lt;&gt;"Dim",IF(SUM($C82:I82)&gt;35,(MIN(SUM($C82:I82),43)-35-SUM($C84:H84)),0),0)</f>
        <v>0</v>
      </c>
      <c r="J84" s="60">
        <f t="shared" si="203"/>
        <v>0</v>
      </c>
      <c r="K84" s="60"/>
      <c r="L84" s="66">
        <f>IF(L77&lt;&gt;"Dim",IF(L82&gt;35,(MIN(L82,43)-35),0),0)</f>
        <v>0</v>
      </c>
      <c r="M84" s="66">
        <f>IF(M77&lt;&gt;"Dim",IF(SUM($L82:M82)&gt;35,(MIN(SUM($L82:M82),43)-35-SUM($L84:L84)),0),0)</f>
        <v>0</v>
      </c>
      <c r="N84" s="66">
        <f>IF(N77&lt;&gt;"Dim",IF(SUM($L82:N82)&gt;35,(MIN(SUM($L82:N82),43)-35-SUM($L84:M84)),0),0)</f>
        <v>0</v>
      </c>
      <c r="O84" s="66">
        <f>IF(O77&lt;&gt;"Dim",IF(SUM($L82:O82)&gt;35,(MIN(SUM($L82:O82),43)-35-SUM($L84:N84)),0),0)</f>
        <v>0</v>
      </c>
      <c r="P84" s="66">
        <f>IF(P77&lt;&gt;"Dim",IF(SUM($L82:P82)&gt;35,(MIN(SUM($L82:P82),43)-35-SUM($L84:O84)),0),0)</f>
        <v>0</v>
      </c>
      <c r="Q84" s="66">
        <f>IF(Q77&lt;&gt;"Dim",IF(SUM($L82:Q82)&gt;35,(MIN(SUM($L82:Q82),43)-35-SUM($L84:P84)),0),0)</f>
        <v>0</v>
      </c>
      <c r="R84" s="66">
        <f>IF(R77&lt;&gt;"Dim",IF(SUM($L82:R82)&gt;35,(MIN(SUM($L82:R82),43)-35-SUM($L84:Q84)),0),0)</f>
        <v>0</v>
      </c>
      <c r="S84" s="60">
        <f t="shared" si="205"/>
        <v>0</v>
      </c>
      <c r="T84" s="60"/>
      <c r="U84" s="66">
        <f>IF(U77&lt;&gt;"Dim",IF(U82&gt;35,(MIN(U82,43)-35),0),0)</f>
        <v>0</v>
      </c>
      <c r="V84" s="66">
        <f>IF(V77&lt;&gt;"Dim",IF(SUM($U82:V82)&gt;35,(MIN(SUM($U82:V82),43)-35-SUM($U84:U84)),0),0)</f>
        <v>0</v>
      </c>
      <c r="W84" s="66">
        <f>IF(W77&lt;&gt;"Dim",IF(SUM($U82:W82)&gt;35,(MIN(SUM($U82:W82),43)-35-SUM($U84:V84)),0),0)</f>
        <v>0</v>
      </c>
      <c r="X84" s="66">
        <f>IF(X77&lt;&gt;"Dim",IF(SUM($U82:X82)&gt;35,(MIN(SUM($U82:X82),43)-35-SUM($U84:W84)),0),0)</f>
        <v>0</v>
      </c>
      <c r="Y84" s="66">
        <f>IF(Y77&lt;&gt;"Dim",IF(SUM($U82:Y82)&gt;35,(MIN(SUM($U82:Y82),43)-35-SUM($U84:X84)),0),0)</f>
        <v>0</v>
      </c>
      <c r="Z84" s="66">
        <f>IF(Z77&lt;&gt;"Dim",IF(SUM($U82:Z82)&gt;35,(MIN(SUM($U82:Z82),43)-35-SUM($U84:Y84)),0),0)</f>
        <v>0</v>
      </c>
      <c r="AA84" s="66">
        <f>IF(AA77&lt;&gt;"Dim",IF(SUM($U82:AA82)&gt;35,(MIN(SUM($U82:AA82),43)-35-SUM($U84:Z84)),0),0)</f>
        <v>0</v>
      </c>
      <c r="AB84" s="60">
        <f t="shared" si="207"/>
        <v>0</v>
      </c>
      <c r="AC84" s="60"/>
      <c r="AD84" s="66">
        <f>IF(AD77&lt;&gt;"Dim",IF(AD82&gt;35,(MIN(AD82,43)-35),0),0)</f>
        <v>0</v>
      </c>
      <c r="AE84" s="66">
        <f>IF(AE77&lt;&gt;"Dim",IF(SUM($AD82:AE82)&gt;35,(MIN(SUM($AD82:AE82),43)-35-SUM($AD84:AD84)),0),0)</f>
        <v>0</v>
      </c>
      <c r="AF84" s="66">
        <f>IF(AF77&lt;&gt;"Dim",IF(SUM($AD82:AF82)&gt;35,(MIN(SUM($AD82:AF82),43)-35-SUM($AD84:AE84)),0),0)</f>
        <v>0</v>
      </c>
      <c r="AG84" s="66">
        <f>IF(AG77&lt;&gt;"Dim",IF(SUM($AD82:AG82)&gt;35,(MIN(SUM($AD82:AG82),43)-35-SUM($AD84:AF84)),0),0)</f>
        <v>0</v>
      </c>
      <c r="AH84" s="66">
        <f>IF(AH77&lt;&gt;"Dim",IF(SUM($AD82:AH82)&gt;35,(MIN(SUM($AD82:AH82),43)-35-SUM($AD84:AG84)),0),0)</f>
        <v>0</v>
      </c>
      <c r="AI84" s="66">
        <f>IF(AI77&lt;&gt;"Dim",IF(SUM($AD82:AI82)&gt;35,(MIN(SUM($AD82:AI82),43)-35-SUM($AD84:AH84)),0),0)</f>
        <v>0</v>
      </c>
      <c r="AJ84" s="66">
        <f>IF(AJ77&lt;&gt;"Dim",IF(SUM($AD82:AJ82)&gt;35,(MIN(SUM($AD82:AJ82),43)-35-SUM($AD84:AI84)),0),0)</f>
        <v>0</v>
      </c>
      <c r="AK84" s="60">
        <f t="shared" si="209"/>
        <v>0</v>
      </c>
      <c r="AL84" s="60"/>
      <c r="AM84" s="66">
        <f>IF(AM77&lt;&gt;"Dim",IF(AM82&gt;35,(MIN(AM82,43)-35),0),0)</f>
        <v>0</v>
      </c>
      <c r="AN84" s="66">
        <f>IF(AN77&lt;&gt;"Dim",IF(SUM($AM82:AN82)&gt;35,(MIN(SUM($AM82:AN82),43)-35-SUM($AM84:AM84)),0),0)</f>
        <v>0</v>
      </c>
      <c r="AO84" s="66">
        <f>IF(AO77&lt;&gt;"Dim",IF(SUM($AM82:AO82)&gt;35,(MIN(SUM($AM82:AO82),43)-35-SUM($AM84:AN84)),0),0)</f>
        <v>0</v>
      </c>
      <c r="AP84" s="66">
        <f>IF(AP77&lt;&gt;"Dim",IF(SUM($AM82:AP82)&gt;35,(MIN(SUM($AM82:AP82),43)-35-SUM($AM84:AO84)),0),0)</f>
        <v>0</v>
      </c>
      <c r="AQ84" s="66">
        <f>IF(AQ77&lt;&gt;"Dim",IF(SUM($AM82:AQ82)&gt;35,(MIN(SUM($AM82:AQ82),43)-35-SUM($AM84:AP84)),0),0)</f>
        <v>0</v>
      </c>
      <c r="AR84" s="66">
        <f>IF(AR77&lt;&gt;"Dim",IF(SUM($AM82:AR82)&gt;35,(MIN(SUM($AM82:AR82),43)-35-SUM($AM84:AQ84)),0),0)</f>
        <v>0</v>
      </c>
      <c r="AS84" s="66">
        <f>IF(AS77&lt;&gt;"Dim",IF(SUM($AM82:AS82)&gt;35,(MIN(SUM($AM82:AS82),43)-35-SUM($AM84:AR84)),0),0)</f>
        <v>0</v>
      </c>
      <c r="AT84" s="60">
        <f t="shared" si="211"/>
        <v>0</v>
      </c>
      <c r="AU84" s="60"/>
      <c r="AV84" s="66">
        <f>IF(AV77&lt;&gt;"Dim",IF(AV82&gt;35,(MIN(AV82,43)-35),0),0)</f>
        <v>0</v>
      </c>
      <c r="AW84" s="66">
        <f>IF(AW77&lt;&gt;"Dim",IF(SUM($AV82:AW82)&gt;35,(MIN(SUM($AV82:AW82),43)-35-SUM($AV84:AV84)),0),0)</f>
        <v>0</v>
      </c>
      <c r="AX84" s="60">
        <f t="shared" si="201"/>
        <v>0</v>
      </c>
      <c r="AY84" s="60">
        <f t="shared" si="213"/>
        <v>0</v>
      </c>
      <c r="AZ84" s="13"/>
      <c r="BA84" s="13"/>
      <c r="BB84" s="13"/>
      <c r="BC84" s="13"/>
      <c r="BD84" s="13"/>
      <c r="BE84" s="13"/>
      <c r="BF84" s="35"/>
    </row>
    <row r="85" spans="1:58" s="7" customFormat="1" ht="15" customHeight="1" x14ac:dyDescent="0.25">
      <c r="A85" s="21" t="s">
        <v>5</v>
      </c>
      <c r="B85" s="81"/>
      <c r="C85" s="66">
        <f>IF(C77&lt;&gt;"Dim",IF(C82&gt;43,(MIN(C82,48)-43),0),0)</f>
        <v>0</v>
      </c>
      <c r="D85" s="66">
        <f>IF(D77&lt;&gt;"Dim",IF(SUM($C82:D82)&gt;43,(MIN(SUM($C82:D82),48)-43-SUM($C85:C85)),0),0)</f>
        <v>0</v>
      </c>
      <c r="E85" s="66">
        <f>IF(E77&lt;&gt;"Dim",IF(SUM($C82:E82)&gt;43,(MIN(SUM($C82:E82),48)-43-SUM($C85:D85)),0),0)</f>
        <v>0</v>
      </c>
      <c r="F85" s="66">
        <f>IF(F77&lt;&gt;"Dim",IF(SUM($C82:F82)&gt;43,(MIN(SUM($C82:F82),48)-43-SUM($C85:E85)),0),0)</f>
        <v>0</v>
      </c>
      <c r="G85" s="66">
        <f>IF(G77&lt;&gt;"Dim",IF(SUM($C82:G82)&gt;43,(MIN(SUM($C82:G82),48)-43-SUM($C85:F85)),0),0)</f>
        <v>0</v>
      </c>
      <c r="H85" s="66">
        <f>IF(H77&lt;&gt;"Dim",IF(SUM($C82:H82)&gt;43,(MIN(SUM($C82:H82),48)-43-SUM($C85:G85)),0),0)</f>
        <v>0</v>
      </c>
      <c r="I85" s="66">
        <f>IF(I77&lt;&gt;"Dim",IF(SUM($C82:I82)&gt;43,(MIN(SUM($C82:I82),48)-43-SUM($C85:H85)),0),0)</f>
        <v>0</v>
      </c>
      <c r="J85" s="60">
        <f t="shared" si="203"/>
        <v>0</v>
      </c>
      <c r="K85" s="60"/>
      <c r="L85" s="66">
        <f>IF(L77&lt;&gt;"Dim",IF(L82&gt;43,(MIN(L82,48)-43),0),0)</f>
        <v>0</v>
      </c>
      <c r="M85" s="66">
        <f>IF(M77&lt;&gt;"Dim",IF(SUM($L82:M82)&gt;43,(MIN(SUM($L82:M82),48)-43-SUM($L85:L85)),0),0)</f>
        <v>0</v>
      </c>
      <c r="N85" s="66">
        <f>IF(N77&lt;&gt;"Dim",IF(SUM($L82:N82)&gt;43,(MIN(SUM($L82:N82),48)-43-SUM($L85:M85)),0),0)</f>
        <v>0</v>
      </c>
      <c r="O85" s="66">
        <f>IF(O77&lt;&gt;"Dim",IF(SUM($L82:O82)&gt;43,(MIN(SUM($L82:O82),48)-43-SUM($L85:N85)),0),0)</f>
        <v>0</v>
      </c>
      <c r="P85" s="66">
        <f>IF(P77&lt;&gt;"Dim",IF(SUM($L82:P82)&gt;43,(MIN(SUM($L82:P82),48)-43-SUM($L85:O85)),0),0)</f>
        <v>0</v>
      </c>
      <c r="Q85" s="66">
        <f>IF(Q77&lt;&gt;"Dim",IF(SUM($L82:Q82)&gt;43,(MIN(SUM($L82:Q82),48)-43-SUM($L85:P85)),0),0)</f>
        <v>0</v>
      </c>
      <c r="R85" s="66">
        <f>IF(R77&lt;&gt;"Dim",IF(SUM($L82:R82)&gt;43,(MIN(SUM($L82:R82),48)-43-SUM($L85:Q85)),0),0)</f>
        <v>0</v>
      </c>
      <c r="S85" s="60">
        <f t="shared" si="205"/>
        <v>0</v>
      </c>
      <c r="T85" s="60"/>
      <c r="U85" s="66">
        <f>IF(U77&lt;&gt;"Dim",IF(U82&gt;43,(MIN(U82,48)-43),0),0)</f>
        <v>0</v>
      </c>
      <c r="V85" s="66">
        <f>IF(V77&lt;&gt;"Dim",IF(SUM($U82:V82)&gt;43,(MIN(SUM($U82:V82),48)-43-SUM($U85:U85)),0),0)</f>
        <v>0</v>
      </c>
      <c r="W85" s="66">
        <f>IF(W77&lt;&gt;"Dim",IF(SUM($U82:W82)&gt;43,(MIN(SUM($U82:W82),48)-43-SUM($U85:V85)),0),0)</f>
        <v>0</v>
      </c>
      <c r="X85" s="66">
        <f>IF(X77&lt;&gt;"Dim",IF(SUM($U82:X82)&gt;43,(MIN(SUM($U82:X82),48)-43-SUM($U85:W85)),0),0)</f>
        <v>0</v>
      </c>
      <c r="Y85" s="66">
        <f>IF(Y77&lt;&gt;"Dim",IF(SUM($U82:Y82)&gt;43,(MIN(SUM($U82:Y82),48)-43-SUM($U85:X85)),0),0)</f>
        <v>0</v>
      </c>
      <c r="Z85" s="66">
        <f>IF(Z77&lt;&gt;"Dim",IF(SUM($U82:Z82)&gt;43,(MIN(SUM($U82:Z82),48)-43-SUM($U85:Y85)),0),0)</f>
        <v>0</v>
      </c>
      <c r="AA85" s="66">
        <f>IF(AA77&lt;&gt;"Dim",IF(SUM($U82:AA82)&gt;43,(MIN(SUM($U82:AA82),48)-43-SUM($U85:Z85)),0),0)</f>
        <v>0</v>
      </c>
      <c r="AB85" s="60">
        <f t="shared" si="207"/>
        <v>0</v>
      </c>
      <c r="AC85" s="60"/>
      <c r="AD85" s="66">
        <f>IF(AD77&lt;&gt;"Dim",IF(AD82&gt;43,(MIN(AD82,48)-43),0),0)</f>
        <v>0</v>
      </c>
      <c r="AE85" s="66">
        <f>IF(AE77&lt;&gt;"Dim",IF(SUM($AD82:AE82)&gt;43,(MIN(SUM($AD82:AE82),48)-43-SUM($AD85:AD85)),0),0)</f>
        <v>0</v>
      </c>
      <c r="AF85" s="66">
        <f>IF(AF77&lt;&gt;"Dim",IF(SUM($AD82:AF82)&gt;43,(MIN(SUM($AD82:AF82),48)-43-SUM($AD85:AE85)),0),0)</f>
        <v>0</v>
      </c>
      <c r="AG85" s="66">
        <f>IF(AG77&lt;&gt;"Dim",IF(SUM($AD82:AG82)&gt;43,(MIN(SUM($AD82:AG82),48)-43-SUM($AD85:AF85)),0),0)</f>
        <v>0</v>
      </c>
      <c r="AH85" s="66">
        <f>IF(AH77&lt;&gt;"Dim",IF(SUM($AD82:AH82)&gt;43,(MIN(SUM($AD82:AH82),48)-43-SUM($AD85:AG85)),0),0)</f>
        <v>0</v>
      </c>
      <c r="AI85" s="66">
        <f>IF(AI77&lt;&gt;"Dim",IF(SUM($AD82:AI82)&gt;43,(MIN(SUM($AD82:AI82),48)-43-SUM($AD85:AH85)),0),0)</f>
        <v>0</v>
      </c>
      <c r="AJ85" s="66">
        <f>IF(AJ77&lt;&gt;"Dim",IF(SUM($AD82:AJ82)&gt;43,(MIN(SUM($AD82:AJ82),48)-43-SUM($AD85:AI85)),0),0)</f>
        <v>0</v>
      </c>
      <c r="AK85" s="60">
        <f t="shared" si="209"/>
        <v>0</v>
      </c>
      <c r="AL85" s="60"/>
      <c r="AM85" s="66">
        <f>IF(AM77&lt;&gt;"Dim",IF(AM82&gt;43,(MIN(AM82,48)-43),0),0)</f>
        <v>0</v>
      </c>
      <c r="AN85" s="66">
        <f>IF(AN77&lt;&gt;"Dim",IF(SUM($AM82:AN82)&gt;43,(MIN(SUM($AM82:AN82),48)-43-SUM($AM85:AM85)),0),0)</f>
        <v>0</v>
      </c>
      <c r="AO85" s="66">
        <f>IF(AO77&lt;&gt;"Dim",IF(SUM($AM82:AO82)&gt;43,(MIN(SUM($AM82:AO82),48)-43-SUM($AM85:AN85)),0),0)</f>
        <v>0</v>
      </c>
      <c r="AP85" s="66">
        <f>IF(AP77&lt;&gt;"Dim",IF(SUM($AM82:AP82)&gt;43,(MIN(SUM($AM82:AP82),48)-43-SUM($AM85:AO85)),0),0)</f>
        <v>0</v>
      </c>
      <c r="AQ85" s="66">
        <f>IF(AQ77&lt;&gt;"Dim",IF(SUM($AM82:AQ82)&gt;43,(MIN(SUM($AM82:AQ82),48)-43-SUM($AM85:AP85)),0),0)</f>
        <v>0</v>
      </c>
      <c r="AR85" s="66">
        <f>IF(AR77&lt;&gt;"Dim",IF(SUM($AM82:AR82)&gt;43,(MIN(SUM($AM82:AR82),48)-43-SUM($AM85:AQ85)),0),0)</f>
        <v>0</v>
      </c>
      <c r="AS85" s="66">
        <f>IF(AS77&lt;&gt;"Dim",IF(SUM($AM82:AS82)&gt;43,(MIN(SUM($AM82:AS82),48)-43-SUM($AM85:AR85)),0),0)</f>
        <v>0</v>
      </c>
      <c r="AT85" s="60">
        <f t="shared" si="211"/>
        <v>0</v>
      </c>
      <c r="AU85" s="60"/>
      <c r="AV85" s="66">
        <f>IF(AV77&lt;&gt;"Dim",IF(AV82&gt;43,(MIN(AV82,48)-43),0),0)</f>
        <v>0</v>
      </c>
      <c r="AW85" s="66">
        <f>IF(AW77&lt;&gt;"Dim",IF(SUM($AV82:AW82)&gt;43,(MIN(SUM($AV82:AW82),48)-43-SUM($AV85:AV85)),0),0)</f>
        <v>0</v>
      </c>
      <c r="AX85" s="60">
        <f t="shared" si="201"/>
        <v>0</v>
      </c>
      <c r="AY85" s="60">
        <f t="shared" si="213"/>
        <v>0</v>
      </c>
      <c r="AZ85" s="13"/>
      <c r="BA85" s="13"/>
      <c r="BB85" s="13"/>
      <c r="BC85" s="13"/>
      <c r="BD85" s="13"/>
      <c r="BE85" s="13"/>
      <c r="BF85" s="35"/>
    </row>
    <row r="86" spans="1:58" s="7" customFormat="1" ht="15" customHeight="1" x14ac:dyDescent="0.25">
      <c r="A86" s="21" t="s">
        <v>7</v>
      </c>
      <c r="B86" s="81"/>
      <c r="C86" s="66">
        <f>IF(C77="Dim",C82,IF(C92="ferie",C82,0))</f>
        <v>0</v>
      </c>
      <c r="D86" s="66">
        <f t="shared" ref="D86:I86" si="220">IF(D77="Dim",D82,IF(D92="ferie",D82,0))</f>
        <v>0</v>
      </c>
      <c r="E86" s="66">
        <f t="shared" si="220"/>
        <v>0</v>
      </c>
      <c r="F86" s="66">
        <f t="shared" si="220"/>
        <v>0</v>
      </c>
      <c r="G86" s="66">
        <f t="shared" si="220"/>
        <v>0</v>
      </c>
      <c r="H86" s="66">
        <f t="shared" si="220"/>
        <v>0</v>
      </c>
      <c r="I86" s="66">
        <f t="shared" si="220"/>
        <v>0</v>
      </c>
      <c r="J86" s="60">
        <f t="shared" si="203"/>
        <v>0</v>
      </c>
      <c r="K86" s="60"/>
      <c r="L86" s="66">
        <f>IF(L77="Dim",L82,IF(L92="ferie",L82,0))</f>
        <v>0</v>
      </c>
      <c r="M86" s="66">
        <f t="shared" ref="M86:R86" si="221">IF(M77="Dim",M82,IF(M92="ferie",M82,0))</f>
        <v>0</v>
      </c>
      <c r="N86" s="66">
        <f t="shared" si="221"/>
        <v>0</v>
      </c>
      <c r="O86" s="66">
        <f t="shared" si="221"/>
        <v>0</v>
      </c>
      <c r="P86" s="66">
        <f t="shared" si="221"/>
        <v>0</v>
      </c>
      <c r="Q86" s="66">
        <f>IF(Q77="Dim",Q82,IF(Q92="ferie",Q82,0))</f>
        <v>0</v>
      </c>
      <c r="R86" s="66">
        <f t="shared" si="221"/>
        <v>0</v>
      </c>
      <c r="S86" s="60">
        <f t="shared" si="205"/>
        <v>0</v>
      </c>
      <c r="T86" s="60"/>
      <c r="U86" s="66">
        <f>IF(U77="Dim",U82,IF(U92="ferie",U82,0))</f>
        <v>0</v>
      </c>
      <c r="V86" s="66">
        <f t="shared" ref="V86:AA86" si="222">IF(V77="Dim",V82,IF(V92="ferie",V82,0))</f>
        <v>0</v>
      </c>
      <c r="W86" s="66">
        <f t="shared" si="222"/>
        <v>0</v>
      </c>
      <c r="X86" s="66">
        <f t="shared" si="222"/>
        <v>0</v>
      </c>
      <c r="Y86" s="66">
        <f t="shared" si="222"/>
        <v>0</v>
      </c>
      <c r="Z86" s="66">
        <f t="shared" si="222"/>
        <v>0</v>
      </c>
      <c r="AA86" s="66">
        <f t="shared" si="222"/>
        <v>0</v>
      </c>
      <c r="AB86" s="60">
        <f t="shared" si="207"/>
        <v>0</v>
      </c>
      <c r="AC86" s="60"/>
      <c r="AD86" s="66">
        <f>IF(AD77="Dim",AD82,IF(AD92="ferie",AD82,0))</f>
        <v>0</v>
      </c>
      <c r="AE86" s="66">
        <f t="shared" ref="AE86:AJ86" si="223">IF(AE77="Dim",AE82,IF(AE92="ferie",AE82,0))</f>
        <v>0</v>
      </c>
      <c r="AF86" s="66">
        <f t="shared" si="223"/>
        <v>0</v>
      </c>
      <c r="AG86" s="66">
        <f t="shared" si="223"/>
        <v>0</v>
      </c>
      <c r="AH86" s="66">
        <f t="shared" si="223"/>
        <v>0</v>
      </c>
      <c r="AI86" s="66">
        <f t="shared" si="223"/>
        <v>0</v>
      </c>
      <c r="AJ86" s="66">
        <f t="shared" si="223"/>
        <v>0</v>
      </c>
      <c r="AK86" s="60">
        <f t="shared" si="209"/>
        <v>0</v>
      </c>
      <c r="AL86" s="60"/>
      <c r="AM86" s="66">
        <f>IF(AM77="Dim",AM82,IF(AM92="ferie",AM82,0))</f>
        <v>0</v>
      </c>
      <c r="AN86" s="66">
        <f t="shared" ref="AN86:AW86" si="224">IF(AN77="Dim",AN82,IF(AN92="ferie",AN82,0))</f>
        <v>0</v>
      </c>
      <c r="AO86" s="66">
        <f t="shared" si="224"/>
        <v>0</v>
      </c>
      <c r="AP86" s="66">
        <f t="shared" si="224"/>
        <v>0</v>
      </c>
      <c r="AQ86" s="66">
        <f t="shared" si="224"/>
        <v>0</v>
      </c>
      <c r="AR86" s="66">
        <f t="shared" si="224"/>
        <v>0</v>
      </c>
      <c r="AS86" s="66">
        <f t="shared" si="224"/>
        <v>0</v>
      </c>
      <c r="AT86" s="60">
        <f>SUM(AM86:AS86)</f>
        <v>0</v>
      </c>
      <c r="AU86" s="60"/>
      <c r="AV86" s="66">
        <f>IF(AV77="Dim",AV82,IF(AV92="ferie",AV82,0))</f>
        <v>0</v>
      </c>
      <c r="AW86" s="66">
        <f t="shared" si="224"/>
        <v>0</v>
      </c>
      <c r="AX86" s="60">
        <f t="shared" si="201"/>
        <v>0</v>
      </c>
      <c r="AY86" s="60">
        <f t="shared" si="213"/>
        <v>0</v>
      </c>
      <c r="AZ86" s="13"/>
      <c r="BA86" s="13"/>
      <c r="BB86" s="13"/>
      <c r="BC86" s="13"/>
      <c r="BD86" s="13"/>
      <c r="BE86" s="13"/>
      <c r="BF86" s="35"/>
    </row>
    <row r="87" spans="1:58" s="7" customFormat="1" ht="15" customHeight="1" x14ac:dyDescent="0.25">
      <c r="A87" s="21" t="s">
        <v>8</v>
      </c>
      <c r="B87" s="81"/>
      <c r="C87" s="31"/>
      <c r="D87" s="31"/>
      <c r="E87" s="31"/>
      <c r="F87" s="31"/>
      <c r="G87" s="31"/>
      <c r="H87" s="31"/>
      <c r="I87" s="31"/>
      <c r="J87" s="60">
        <f t="shared" si="203"/>
        <v>0</v>
      </c>
      <c r="K87" s="60"/>
      <c r="L87" s="31"/>
      <c r="M87" s="31"/>
      <c r="N87" s="31"/>
      <c r="O87" s="31"/>
      <c r="P87" s="31"/>
      <c r="Q87" s="31"/>
      <c r="R87" s="31"/>
      <c r="S87" s="60">
        <f t="shared" si="205"/>
        <v>0</v>
      </c>
      <c r="T87" s="60"/>
      <c r="U87" s="31"/>
      <c r="V87" s="31"/>
      <c r="W87" s="31"/>
      <c r="X87" s="31"/>
      <c r="Y87" s="31"/>
      <c r="Z87" s="31"/>
      <c r="AA87" s="31"/>
      <c r="AB87" s="60">
        <f t="shared" si="207"/>
        <v>0</v>
      </c>
      <c r="AC87" s="60"/>
      <c r="AD87" s="31"/>
      <c r="AE87" s="31"/>
      <c r="AF87" s="31"/>
      <c r="AG87" s="31"/>
      <c r="AH87" s="31"/>
      <c r="AI87" s="31"/>
      <c r="AJ87" s="31"/>
      <c r="AK87" s="60">
        <f t="shared" si="209"/>
        <v>0</v>
      </c>
      <c r="AL87" s="60"/>
      <c r="AM87" s="31"/>
      <c r="AN87" s="31"/>
      <c r="AO87" s="31"/>
      <c r="AP87" s="31"/>
      <c r="AQ87" s="31"/>
      <c r="AR87" s="31"/>
      <c r="AS87" s="31"/>
      <c r="AT87" s="60">
        <f t="shared" si="211"/>
        <v>0</v>
      </c>
      <c r="AU87" s="60"/>
      <c r="AV87" s="31"/>
      <c r="AW87" s="31"/>
      <c r="AX87" s="60">
        <f t="shared" si="201"/>
        <v>0</v>
      </c>
      <c r="AY87" s="60">
        <f t="shared" si="213"/>
        <v>0</v>
      </c>
      <c r="AZ87" s="13"/>
      <c r="BA87" s="13"/>
      <c r="BB87" s="13"/>
      <c r="BC87" s="13"/>
      <c r="BD87" s="13"/>
      <c r="BE87" s="13"/>
      <c r="BF87" s="35"/>
    </row>
    <row r="88" spans="1:58" s="8" customFormat="1" ht="15" customHeight="1" x14ac:dyDescent="0.25">
      <c r="A88" s="36" t="s">
        <v>9</v>
      </c>
      <c r="B88" s="82"/>
      <c r="C88" s="31"/>
      <c r="D88" s="31"/>
      <c r="E88" s="31"/>
      <c r="F88" s="31"/>
      <c r="G88" s="31"/>
      <c r="H88" s="31"/>
      <c r="I88" s="31"/>
      <c r="J88" s="60">
        <f t="shared" si="203"/>
        <v>0</v>
      </c>
      <c r="K88" s="60"/>
      <c r="L88" s="31"/>
      <c r="M88" s="31"/>
      <c r="N88" s="31"/>
      <c r="O88" s="31"/>
      <c r="P88" s="31"/>
      <c r="Q88" s="31"/>
      <c r="R88" s="31"/>
      <c r="S88" s="60">
        <f t="shared" si="205"/>
        <v>0</v>
      </c>
      <c r="T88" s="60"/>
      <c r="U88" s="31"/>
      <c r="V88" s="31"/>
      <c r="W88" s="31"/>
      <c r="X88" s="31"/>
      <c r="Y88" s="31"/>
      <c r="Z88" s="31"/>
      <c r="AA88" s="31"/>
      <c r="AB88" s="60">
        <f t="shared" si="207"/>
        <v>0</v>
      </c>
      <c r="AC88" s="60"/>
      <c r="AD88" s="31"/>
      <c r="AE88" s="31"/>
      <c r="AF88" s="31"/>
      <c r="AG88" s="31"/>
      <c r="AH88" s="31"/>
      <c r="AI88" s="31"/>
      <c r="AJ88" s="31"/>
      <c r="AK88" s="60">
        <f t="shared" si="209"/>
        <v>0</v>
      </c>
      <c r="AL88" s="60"/>
      <c r="AM88" s="31"/>
      <c r="AN88" s="31"/>
      <c r="AO88" s="31"/>
      <c r="AP88" s="31"/>
      <c r="AQ88" s="31"/>
      <c r="AR88" s="31"/>
      <c r="AS88" s="31"/>
      <c r="AT88" s="60">
        <f t="shared" si="211"/>
        <v>0</v>
      </c>
      <c r="AU88" s="60"/>
      <c r="AV88" s="31"/>
      <c r="AW88" s="31"/>
      <c r="AX88" s="60">
        <f t="shared" ref="AX88:AX90" si="225">SUM(AV88:AW88)</f>
        <v>0</v>
      </c>
      <c r="AY88" s="60">
        <f t="shared" si="213"/>
        <v>0</v>
      </c>
      <c r="AZ88" s="52"/>
      <c r="BA88" s="52"/>
      <c r="BB88" s="52"/>
      <c r="BC88" s="52"/>
      <c r="BD88" s="52"/>
      <c r="BE88" s="52"/>
      <c r="BF88" s="35"/>
    </row>
    <row r="89" spans="1:58" s="8" customFormat="1" ht="15" customHeight="1" x14ac:dyDescent="0.25">
      <c r="A89" s="21" t="s">
        <v>11</v>
      </c>
      <c r="B89" s="81"/>
      <c r="C89" s="31"/>
      <c r="D89" s="31"/>
      <c r="E89" s="31"/>
      <c r="F89" s="31"/>
      <c r="G89" s="31"/>
      <c r="H89" s="31"/>
      <c r="I89" s="31"/>
      <c r="J89" s="60">
        <f t="shared" si="203"/>
        <v>0</v>
      </c>
      <c r="K89" s="60"/>
      <c r="L89" s="31"/>
      <c r="M89" s="31"/>
      <c r="N89" s="31"/>
      <c r="O89" s="31"/>
      <c r="P89" s="31"/>
      <c r="Q89" s="31"/>
      <c r="R89" s="31"/>
      <c r="S89" s="60">
        <f t="shared" si="205"/>
        <v>0</v>
      </c>
      <c r="T89" s="60"/>
      <c r="U89" s="31"/>
      <c r="V89" s="31"/>
      <c r="W89" s="31"/>
      <c r="X89" s="31"/>
      <c r="Y89" s="31"/>
      <c r="Z89" s="31"/>
      <c r="AA89" s="31"/>
      <c r="AB89" s="60">
        <f t="shared" si="207"/>
        <v>0</v>
      </c>
      <c r="AC89" s="60"/>
      <c r="AD89" s="31"/>
      <c r="AE89" s="31"/>
      <c r="AF89" s="31"/>
      <c r="AG89" s="31"/>
      <c r="AH89" s="31"/>
      <c r="AI89" s="31"/>
      <c r="AJ89" s="31"/>
      <c r="AK89" s="60">
        <f t="shared" si="209"/>
        <v>0</v>
      </c>
      <c r="AL89" s="60"/>
      <c r="AM89" s="31"/>
      <c r="AN89" s="31"/>
      <c r="AO89" s="31"/>
      <c r="AP89" s="31"/>
      <c r="AQ89" s="31"/>
      <c r="AR89" s="31"/>
      <c r="AS89" s="31"/>
      <c r="AT89" s="60">
        <f t="shared" si="211"/>
        <v>0</v>
      </c>
      <c r="AU89" s="60"/>
      <c r="AV89" s="31"/>
      <c r="AW89" s="31"/>
      <c r="AX89" s="60">
        <f t="shared" si="225"/>
        <v>0</v>
      </c>
      <c r="AY89" s="60">
        <f t="shared" si="213"/>
        <v>0</v>
      </c>
      <c r="AZ89" s="52"/>
      <c r="BA89" s="52"/>
      <c r="BB89" s="52"/>
      <c r="BC89" s="52"/>
      <c r="BD89" s="52"/>
      <c r="BE89" s="52"/>
      <c r="BF89" s="35"/>
    </row>
    <row r="90" spans="1:58" s="8" customFormat="1" ht="15" customHeight="1" x14ac:dyDescent="0.25">
      <c r="A90" s="36" t="s">
        <v>10</v>
      </c>
      <c r="B90" s="82"/>
      <c r="C90" s="31"/>
      <c r="D90" s="31"/>
      <c r="E90" s="31"/>
      <c r="F90" s="31"/>
      <c r="G90" s="31"/>
      <c r="H90" s="31"/>
      <c r="I90" s="31"/>
      <c r="J90" s="60">
        <f t="shared" si="203"/>
        <v>0</v>
      </c>
      <c r="K90" s="60"/>
      <c r="L90" s="31"/>
      <c r="M90" s="31"/>
      <c r="N90" s="31"/>
      <c r="O90" s="31"/>
      <c r="P90" s="31"/>
      <c r="Q90" s="31"/>
      <c r="R90" s="31"/>
      <c r="S90" s="60">
        <f t="shared" si="205"/>
        <v>0</v>
      </c>
      <c r="T90" s="60"/>
      <c r="U90" s="31"/>
      <c r="V90" s="31"/>
      <c r="W90" s="31"/>
      <c r="X90" s="31"/>
      <c r="Y90" s="31"/>
      <c r="Z90" s="31"/>
      <c r="AA90" s="31"/>
      <c r="AB90" s="60">
        <f t="shared" si="207"/>
        <v>0</v>
      </c>
      <c r="AC90" s="60"/>
      <c r="AD90" s="31"/>
      <c r="AE90" s="31"/>
      <c r="AF90" s="31"/>
      <c r="AG90" s="31"/>
      <c r="AH90" s="31"/>
      <c r="AI90" s="31"/>
      <c r="AJ90" s="31"/>
      <c r="AK90" s="60">
        <f t="shared" si="209"/>
        <v>0</v>
      </c>
      <c r="AL90" s="60"/>
      <c r="AM90" s="31"/>
      <c r="AN90" s="31"/>
      <c r="AO90" s="31"/>
      <c r="AP90" s="31"/>
      <c r="AQ90" s="31"/>
      <c r="AR90" s="31"/>
      <c r="AS90" s="31"/>
      <c r="AT90" s="60">
        <f t="shared" si="211"/>
        <v>0</v>
      </c>
      <c r="AU90" s="60"/>
      <c r="AV90" s="31"/>
      <c r="AW90" s="31"/>
      <c r="AX90" s="60">
        <f t="shared" si="225"/>
        <v>0</v>
      </c>
      <c r="AY90" s="60">
        <f t="shared" si="213"/>
        <v>0</v>
      </c>
      <c r="AZ90" s="52"/>
      <c r="BA90" s="52"/>
      <c r="BB90" s="52"/>
      <c r="BC90" s="52"/>
      <c r="BD90" s="52"/>
      <c r="BE90" s="52"/>
      <c r="BF90" s="35"/>
    </row>
    <row r="91" spans="1:58" s="33" customFormat="1" ht="15" customHeight="1" x14ac:dyDescent="0.25">
      <c r="A91" s="36" t="s">
        <v>44</v>
      </c>
      <c r="B91" s="82"/>
      <c r="C91" s="60">
        <f>IF(C79="nuit",C82*0.02,0)</f>
        <v>0</v>
      </c>
      <c r="D91" s="60">
        <f>IF(D79="nuit",D82*0.02,0)</f>
        <v>0</v>
      </c>
      <c r="E91" s="60">
        <f t="shared" ref="E91:I91" si="226">IF(E79="nuit",E82*0.02,0)</f>
        <v>0</v>
      </c>
      <c r="F91" s="60">
        <f t="shared" si="226"/>
        <v>0</v>
      </c>
      <c r="G91" s="60">
        <f>IF(G79="nuit",G82*0.02,0)</f>
        <v>0</v>
      </c>
      <c r="H91" s="60">
        <f t="shared" si="226"/>
        <v>0</v>
      </c>
      <c r="I91" s="60">
        <f t="shared" si="226"/>
        <v>0</v>
      </c>
      <c r="J91" s="60">
        <f t="shared" si="203"/>
        <v>0</v>
      </c>
      <c r="K91" s="60"/>
      <c r="L91" s="60">
        <f>IF(L79="nuit",L82*0.02,0)</f>
        <v>0</v>
      </c>
      <c r="M91" s="60">
        <f>IF(M79="nuit",M82*0.02,0)</f>
        <v>0</v>
      </c>
      <c r="N91" s="60">
        <f t="shared" ref="N91:R91" si="227">IF(N79="nuit",N82*0.02,0)</f>
        <v>0</v>
      </c>
      <c r="O91" s="60">
        <f t="shared" si="227"/>
        <v>0</v>
      </c>
      <c r="P91" s="60">
        <f>IF(P79="nuit",P82*0.02,0)</f>
        <v>0</v>
      </c>
      <c r="Q91" s="60">
        <f t="shared" si="227"/>
        <v>0</v>
      </c>
      <c r="R91" s="60">
        <f t="shared" si="227"/>
        <v>0</v>
      </c>
      <c r="S91" s="60">
        <f t="shared" si="205"/>
        <v>0</v>
      </c>
      <c r="T91" s="60"/>
      <c r="U91" s="60">
        <f>IF(U79="nuit",U82*0.02,0)</f>
        <v>0</v>
      </c>
      <c r="V91" s="60">
        <f>IF(V79="nuit",V82*0.02,0)</f>
        <v>0</v>
      </c>
      <c r="W91" s="60">
        <f t="shared" ref="W91:AA91" si="228">IF(W79="nuit",W82*0.02,0)</f>
        <v>0</v>
      </c>
      <c r="X91" s="60">
        <f t="shared" si="228"/>
        <v>0</v>
      </c>
      <c r="Y91" s="60">
        <f>IF(Y79="nuit",Y82*0.02,0)</f>
        <v>0</v>
      </c>
      <c r="Z91" s="60">
        <f t="shared" si="228"/>
        <v>0</v>
      </c>
      <c r="AA91" s="60">
        <f t="shared" si="228"/>
        <v>0</v>
      </c>
      <c r="AB91" s="60">
        <f t="shared" si="207"/>
        <v>0</v>
      </c>
      <c r="AC91" s="60"/>
      <c r="AD91" s="60">
        <f>IF(AD79="nuit",AD82*0.02,0)</f>
        <v>0</v>
      </c>
      <c r="AE91" s="60">
        <f>IF(AE79="nuit",AE82*0.02,0)</f>
        <v>0</v>
      </c>
      <c r="AF91" s="60">
        <f t="shared" ref="AF91:AJ91" si="229">IF(AF79="nuit",AF82*0.02,0)</f>
        <v>0</v>
      </c>
      <c r="AG91" s="60">
        <f t="shared" si="229"/>
        <v>0</v>
      </c>
      <c r="AH91" s="60">
        <f>IF(AH79="nuit",AH82*0.02,0)</f>
        <v>0</v>
      </c>
      <c r="AI91" s="60">
        <f t="shared" si="229"/>
        <v>0</v>
      </c>
      <c r="AJ91" s="60">
        <f t="shared" si="229"/>
        <v>0</v>
      </c>
      <c r="AK91" s="60">
        <f t="shared" si="209"/>
        <v>0</v>
      </c>
      <c r="AL91" s="60"/>
      <c r="AM91" s="60">
        <f>IF(AM79="nuit",AM82*0.02,0)</f>
        <v>0</v>
      </c>
      <c r="AN91" s="60">
        <f>IF(AN79="nuit",AN82*0.02,0)</f>
        <v>0</v>
      </c>
      <c r="AO91" s="60">
        <f t="shared" ref="AO91:AS91" si="230">IF(AO79="nuit",AO82*0.02,0)</f>
        <v>0</v>
      </c>
      <c r="AP91" s="60">
        <f t="shared" si="230"/>
        <v>0</v>
      </c>
      <c r="AQ91" s="60">
        <f>IF(AQ79="nuit",AQ82*0.02,0)</f>
        <v>0</v>
      </c>
      <c r="AR91" s="60">
        <f t="shared" si="230"/>
        <v>0</v>
      </c>
      <c r="AS91" s="60">
        <f t="shared" si="230"/>
        <v>0</v>
      </c>
      <c r="AT91" s="60">
        <f t="shared" si="211"/>
        <v>0</v>
      </c>
      <c r="AU91" s="60"/>
      <c r="AV91" s="60">
        <f>IF(AV79="nuit",AV82*0.02,0)</f>
        <v>0</v>
      </c>
      <c r="AW91" s="60">
        <f>IF(AW79="nuit",AW82*0.02,0)</f>
        <v>0</v>
      </c>
      <c r="AX91" s="60">
        <f>SUM(AV91:AW91)</f>
        <v>0</v>
      </c>
      <c r="AY91" s="60">
        <f>J91+S91+AB91+AK91+AT91+AX91</f>
        <v>0</v>
      </c>
      <c r="AZ91" s="52"/>
      <c r="BA91" s="52"/>
      <c r="BB91" s="52"/>
      <c r="BC91" s="52"/>
      <c r="BD91" s="52"/>
      <c r="BE91" s="52"/>
      <c r="BF91" s="35"/>
    </row>
    <row r="92" spans="1:58" s="8" customFormat="1" ht="15" customHeight="1" x14ac:dyDescent="0.25">
      <c r="A92" s="21" t="s">
        <v>31</v>
      </c>
      <c r="B92" s="81"/>
      <c r="C92" s="31"/>
      <c r="D92" s="31"/>
      <c r="E92" s="31"/>
      <c r="F92" s="31"/>
      <c r="G92" s="31"/>
      <c r="H92" s="37"/>
      <c r="I92" s="37"/>
      <c r="J92" s="64"/>
      <c r="K92" s="64"/>
      <c r="L92" s="37"/>
      <c r="M92" s="37"/>
      <c r="N92" s="37"/>
      <c r="O92" s="37"/>
      <c r="P92" s="37"/>
      <c r="Q92" s="37"/>
      <c r="R92" s="37"/>
      <c r="S92" s="64"/>
      <c r="T92" s="64"/>
      <c r="U92" s="37"/>
      <c r="V92" s="37"/>
      <c r="W92" s="37"/>
      <c r="X92" s="37"/>
      <c r="Y92" s="37"/>
      <c r="Z92" s="37"/>
      <c r="AA92" s="37"/>
      <c r="AB92" s="64"/>
      <c r="AC92" s="64"/>
      <c r="AD92" s="37"/>
      <c r="AE92" s="37"/>
      <c r="AF92" s="37"/>
      <c r="AG92" s="37"/>
      <c r="AH92" s="37"/>
      <c r="AI92" s="37"/>
      <c r="AJ92" s="37"/>
      <c r="AK92" s="64"/>
      <c r="AL92" s="64"/>
      <c r="AM92" s="37"/>
      <c r="AN92" s="37"/>
      <c r="AO92" s="37"/>
      <c r="AP92" s="37"/>
      <c r="AQ92" s="37"/>
      <c r="AR92" s="37"/>
      <c r="AS92" s="37"/>
      <c r="AT92" s="64"/>
      <c r="AU92" s="64"/>
      <c r="AV92" s="37"/>
      <c r="AW92" s="37"/>
      <c r="AX92" s="64"/>
      <c r="AY92" s="65"/>
      <c r="AZ92" s="52"/>
      <c r="BA92" s="52"/>
      <c r="BB92" s="52"/>
      <c r="BC92" s="52"/>
      <c r="BD92" s="52"/>
      <c r="BE92" s="52"/>
      <c r="BF92" s="35"/>
    </row>
    <row r="93" spans="1:58" s="8" customFormat="1" ht="15" customHeight="1" x14ac:dyDescent="0.25">
      <c r="A93" s="38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69"/>
      <c r="AZ93" s="52"/>
      <c r="BA93" s="52"/>
      <c r="BB93" s="52"/>
      <c r="BC93" s="52"/>
      <c r="BD93" s="52"/>
      <c r="BE93" s="52"/>
      <c r="BF93" s="35"/>
    </row>
    <row r="94" spans="1:58" s="8" customFormat="1" ht="27.6" x14ac:dyDescent="0.25">
      <c r="A94" s="21"/>
      <c r="B94" s="21"/>
      <c r="C94" s="24" t="s">
        <v>24</v>
      </c>
      <c r="D94" s="24"/>
      <c r="E94" s="24"/>
      <c r="F94" s="24"/>
      <c r="G94" s="24"/>
      <c r="H94" s="95">
        <f>Année_Calendaire</f>
        <v>2016</v>
      </c>
      <c r="I94" s="95"/>
      <c r="J94" s="49"/>
      <c r="K94" s="79"/>
      <c r="L94" s="31"/>
      <c r="M94" s="31"/>
      <c r="N94" s="31"/>
      <c r="O94" s="31"/>
      <c r="P94" s="31"/>
      <c r="Q94" s="31"/>
      <c r="R94" s="31"/>
      <c r="S94" s="49"/>
      <c r="T94" s="79"/>
      <c r="U94" s="24" t="s">
        <v>24</v>
      </c>
      <c r="V94" s="24"/>
      <c r="W94" s="24"/>
      <c r="X94" s="24"/>
      <c r="Y94" s="24"/>
      <c r="Z94" s="95">
        <f>Année_Calendaire</f>
        <v>2016</v>
      </c>
      <c r="AA94" s="95"/>
      <c r="AB94" s="49"/>
      <c r="AC94" s="79"/>
      <c r="AD94" s="31"/>
      <c r="AE94" s="31"/>
      <c r="AF94" s="31"/>
      <c r="AG94" s="31"/>
      <c r="AH94" s="31"/>
      <c r="AI94" s="31"/>
      <c r="AJ94" s="31"/>
      <c r="AK94" s="49"/>
      <c r="AL94" s="79"/>
      <c r="AM94" s="24" t="s">
        <v>24</v>
      </c>
      <c r="AN94" s="24"/>
      <c r="AO94" s="24"/>
      <c r="AP94" s="24"/>
      <c r="AQ94" s="24"/>
      <c r="AR94" s="95">
        <f>Année_Calendaire</f>
        <v>2016</v>
      </c>
      <c r="AS94" s="95"/>
      <c r="AT94" s="49"/>
      <c r="AU94" s="79"/>
      <c r="AV94" s="31"/>
      <c r="AW94" s="31"/>
      <c r="AX94" s="49"/>
      <c r="AY94" s="53"/>
      <c r="AZ94" s="42"/>
      <c r="BA94" s="53"/>
      <c r="BB94" s="53"/>
      <c r="BC94" s="53"/>
      <c r="BD94" s="42"/>
      <c r="BE94" s="42"/>
      <c r="BF94" s="32"/>
    </row>
    <row r="95" spans="1:58" ht="29.25" customHeight="1" x14ac:dyDescent="0.25">
      <c r="A95" s="31"/>
      <c r="B95" s="31"/>
      <c r="C95" s="62" t="s">
        <v>13</v>
      </c>
      <c r="D95" s="62" t="s">
        <v>14</v>
      </c>
      <c r="E95" s="62" t="s">
        <v>15</v>
      </c>
      <c r="F95" s="62" t="s">
        <v>16</v>
      </c>
      <c r="G95" s="62" t="s">
        <v>17</v>
      </c>
      <c r="H95" s="62" t="s">
        <v>18</v>
      </c>
      <c r="I95" s="62" t="s">
        <v>19</v>
      </c>
      <c r="J95" s="96" t="s">
        <v>32</v>
      </c>
      <c r="K95" s="85"/>
      <c r="L95" s="62" t="s">
        <v>13</v>
      </c>
      <c r="M95" s="62" t="s">
        <v>14</v>
      </c>
      <c r="N95" s="62" t="s">
        <v>15</v>
      </c>
      <c r="O95" s="62" t="s">
        <v>16</v>
      </c>
      <c r="P95" s="62" t="s">
        <v>17</v>
      </c>
      <c r="Q95" s="62" t="s">
        <v>18</v>
      </c>
      <c r="R95" s="62" t="s">
        <v>19</v>
      </c>
      <c r="S95" s="96" t="s">
        <v>32</v>
      </c>
      <c r="T95" s="85"/>
      <c r="U95" s="62" t="s">
        <v>13</v>
      </c>
      <c r="V95" s="62" t="s">
        <v>14</v>
      </c>
      <c r="W95" s="62" t="s">
        <v>15</v>
      </c>
      <c r="X95" s="62" t="s">
        <v>16</v>
      </c>
      <c r="Y95" s="62" t="s">
        <v>17</v>
      </c>
      <c r="Z95" s="62" t="s">
        <v>18</v>
      </c>
      <c r="AA95" s="62" t="s">
        <v>19</v>
      </c>
      <c r="AB95" s="96" t="s">
        <v>32</v>
      </c>
      <c r="AC95" s="85"/>
      <c r="AD95" s="62" t="s">
        <v>13</v>
      </c>
      <c r="AE95" s="62" t="s">
        <v>14</v>
      </c>
      <c r="AF95" s="62" t="s">
        <v>15</v>
      </c>
      <c r="AG95" s="62" t="s">
        <v>16</v>
      </c>
      <c r="AH95" s="62" t="s">
        <v>17</v>
      </c>
      <c r="AI95" s="62" t="s">
        <v>18</v>
      </c>
      <c r="AJ95" s="62" t="s">
        <v>19</v>
      </c>
      <c r="AK95" s="96" t="s">
        <v>32</v>
      </c>
      <c r="AL95" s="85"/>
      <c r="AM95" s="62" t="s">
        <v>13</v>
      </c>
      <c r="AN95" s="62" t="s">
        <v>14</v>
      </c>
      <c r="AO95" s="62" t="s">
        <v>15</v>
      </c>
      <c r="AP95" s="62" t="s">
        <v>16</v>
      </c>
      <c r="AQ95" s="62" t="s">
        <v>17</v>
      </c>
      <c r="AR95" s="62" t="s">
        <v>18</v>
      </c>
      <c r="AS95" s="62" t="s">
        <v>19</v>
      </c>
      <c r="AT95" s="96" t="s">
        <v>32</v>
      </c>
      <c r="AU95" s="85" t="s">
        <v>79</v>
      </c>
      <c r="AV95" s="62" t="s">
        <v>13</v>
      </c>
      <c r="AW95" s="62" t="s">
        <v>14</v>
      </c>
      <c r="AX95" s="96" t="s">
        <v>32</v>
      </c>
      <c r="AY95" s="96" t="s">
        <v>35</v>
      </c>
      <c r="AZ95" s="97">
        <f>AY102+AY103+AY104</f>
        <v>0</v>
      </c>
      <c r="BA95" s="97">
        <f>AZ95+BA77</f>
        <v>10</v>
      </c>
      <c r="BB95" s="13"/>
      <c r="BC95" s="13"/>
      <c r="BD95" s="13"/>
      <c r="BE95" s="13"/>
      <c r="BF95" s="1"/>
    </row>
    <row r="96" spans="1:58" ht="15" customHeight="1" x14ac:dyDescent="0.25">
      <c r="A96" s="48"/>
      <c r="B96" s="83"/>
      <c r="C96" s="67" t="str">
        <f>IF(DAY(Juin_Dim1)=1,"",IF(AND(YEAR(Juin_Dim1+1)=Année_Calendaire,MONTH(Juin_Dim1+1)=6),Juin_Dim1+1,""))</f>
        <v/>
      </c>
      <c r="D96" s="67" t="str">
        <f>IF(DAY(Juin_Dim1)=1,"",IF(AND(YEAR(Juin_Dim1+2)=Année_Calendaire,MONTH(Juin_Dim1+2)=6),Juin_Dim1+2,""))</f>
        <v/>
      </c>
      <c r="E96" s="67">
        <f>IF(DAY(Juin_Dim1)=1,"",IF(AND(YEAR(Juin_Dim1+3)=Année_Calendaire,MONTH(Juin_Dim1+3)=6),Juin_Dim1+3,""))</f>
        <v>42522</v>
      </c>
      <c r="F96" s="67">
        <f>IF(DAY(Juin_Dim1)=1,"",IF(AND(YEAR(Juin_Dim1+4)=Année_Calendaire,MONTH(Juin_Dim1+4)=6),Juin_Dim1+4,""))</f>
        <v>42523</v>
      </c>
      <c r="G96" s="67">
        <f>IF(DAY(Juin_Dim1)=1,"",IF(AND(YEAR(Juin_Dim1+5)=Année_Calendaire,MONTH(Juin_Dim1+5)=6),Juin_Dim1+5,""))</f>
        <v>42524</v>
      </c>
      <c r="H96" s="67">
        <f>IF(DAY(Juin_Dim1)=1,"",IF(AND(YEAR(Juin_Dim1+6)=Année_Calendaire,MONTH(Juin_Dim1+6)=6),Juin_Dim1+6,""))</f>
        <v>42525</v>
      </c>
      <c r="I96" s="67">
        <f>IF(DAY(Juin_Dim1)=1,IF(AND(YEAR(Juin_Dim1)=Année_Calendaire,MONTH(Juin_Dim1)=6),Juin_Dim1,""),IF(AND(YEAR(Juin_Dim1+7)=Année_Calendaire,MONTH(Juin_Dim1+7)=6),Juin_Dim1+7,""))</f>
        <v>42526</v>
      </c>
      <c r="J96" s="96"/>
      <c r="K96" s="78"/>
      <c r="L96" s="67">
        <f>IF(DAY(Juin_Dim1)=1,IF(AND(YEAR(Juin_Dim1+1)=Année_Calendaire,MONTH(Juin_Dim1+1)=6),Juin_Dim1+1,""),IF(AND(YEAR(Juin_Dim1+8)=Année_Calendaire,MONTH(Juin_Dim1+8)=6),Juin_Dim1+8,""))</f>
        <v>42527</v>
      </c>
      <c r="M96" s="67">
        <f>IF(DAY(Juin_Dim1)=1,IF(AND(YEAR(Juin_Dim1+2)=Année_Calendaire,MONTH(Juin_Dim1+2)=6),Juin_Dim1+2,""),IF(AND(YEAR(Juin_Dim1+9)=Année_Calendaire,MONTH(Juin_Dim1+9)=6),Juin_Dim1+9,""))</f>
        <v>42528</v>
      </c>
      <c r="N96" s="67">
        <f>IF(DAY(Juin_Dim1)=1,IF(AND(YEAR(Juin_Dim1+3)=Année_Calendaire,MONTH(Juin_Dim1+3)=6),Juin_Dim1+3,""),IF(AND(YEAR(Juin_Dim1+10)=Année_Calendaire,MONTH(Juin_Dim1+10)=6),Juin_Dim1+10,""))</f>
        <v>42529</v>
      </c>
      <c r="O96" s="67">
        <f>IF(DAY(Juin_Dim1)=1,IF(AND(YEAR(Juin_Dim1+4)=Année_Calendaire,MONTH(Juin_Dim1+4)=6),Juin_Dim1+4,""),IF(AND(YEAR(Juin_Dim1+11)=Année_Calendaire,MONTH(Juin_Dim1+11)=6),Juin_Dim1+11,""))</f>
        <v>42530</v>
      </c>
      <c r="P96" s="67">
        <f>IF(DAY(Juin_Dim1)=1,IF(AND(YEAR(Juin_Dim1+5)=Année_Calendaire,MONTH(Juin_Dim1+5)=6),Juin_Dim1+5,""),IF(AND(YEAR(Juin_Dim1+12)=Année_Calendaire,MONTH(Juin_Dim1+12)=6),Juin_Dim1+12,""))</f>
        <v>42531</v>
      </c>
      <c r="Q96" s="67">
        <f>IF(DAY(Juin_Dim1)=1,IF(AND(YEAR(Juin_Dim1+6)=Année_Calendaire,MONTH(Juin_Dim1+6)=6),Juin_Dim1+6,""),IF(AND(YEAR(Juin_Dim1+13)=Année_Calendaire,MONTH(Juin_Dim1+13)=6),Juin_Dim1+13,""))</f>
        <v>42532</v>
      </c>
      <c r="R96" s="67">
        <f>IF(DAY(Juin_Dim1)=1,IF(AND(YEAR(Juin_Dim1+7)=Année_Calendaire,MONTH(Juin_Dim1+7)=6),Juin_Dim1+7,""),IF(AND(YEAR(Juin_Dim1+14)=Année_Calendaire,MONTH(Juin_Dim1+14)=6),Juin_Dim1+14,""))</f>
        <v>42533</v>
      </c>
      <c r="S96" s="96"/>
      <c r="T96" s="78"/>
      <c r="U96" s="67">
        <f>IF(DAY(Juin_Dim1)=1,IF(AND(YEAR(Juin_Dim1+8)=Année_Calendaire,MONTH(Juin_Dim1+8)=6),Juin_Dim1+8,""),IF(AND(YEAR(Juin_Dim1+15)=Année_Calendaire,MONTH(Juin_Dim1+15)=6),Juin_Dim1+15,""))</f>
        <v>42534</v>
      </c>
      <c r="V96" s="67">
        <f>IF(DAY(Juin_Dim1)=1,IF(AND(YEAR(Juin_Dim1+9)=Année_Calendaire,MONTH(Juin_Dim1+9)=6),Juin_Dim1+9,""),IF(AND(YEAR(Juin_Dim1+16)=Année_Calendaire,MONTH(Juin_Dim1+16)=6),Juin_Dim1+16,""))</f>
        <v>42535</v>
      </c>
      <c r="W96" s="67">
        <f>IF(DAY(Juin_Dim1)=1,IF(AND(YEAR(Juin_Dim1+10)=Année_Calendaire,MONTH(Juin_Dim1+10)=6),Juin_Dim1+10,""),IF(AND(YEAR(Juin_Dim1+17)=Année_Calendaire,MONTH(Juin_Dim1+17)=6),Juin_Dim1+17,""))</f>
        <v>42536</v>
      </c>
      <c r="X96" s="67">
        <f>IF(DAY(Juin_Dim1)=1,IF(AND(YEAR(Juin_Dim1+11)=Année_Calendaire,MONTH(Juin_Dim1+11)=6),Juin_Dim1+11,""),IF(AND(YEAR(Juin_Dim1+18)=Année_Calendaire,MONTH(Juin_Dim1+18)=6),Juin_Dim1+18,""))</f>
        <v>42537</v>
      </c>
      <c r="Y96" s="67">
        <f>IF(DAY(Juin_Dim1)=1,IF(AND(YEAR(Juin_Dim1+12)=Année_Calendaire,MONTH(Juin_Dim1+12)=6),Juin_Dim1+12,""),IF(AND(YEAR(Juin_Dim1+19)=Année_Calendaire,MONTH(Juin_Dim1+19)=6),Juin_Dim1+19,""))</f>
        <v>42538</v>
      </c>
      <c r="Z96" s="67">
        <f>IF(DAY(Juin_Dim1)=1,IF(AND(YEAR(Juin_Dim1+13)=Année_Calendaire,MONTH(Juin_Dim1+13)=6),Juin_Dim1+13,""),IF(AND(YEAR(Juin_Dim1+20)=Année_Calendaire,MONTH(Juin_Dim1+20)=6),Juin_Dim1+20,""))</f>
        <v>42539</v>
      </c>
      <c r="AA96" s="67">
        <f>IF(DAY(Juin_Dim1)=1,IF(AND(YEAR(Juin_Dim1+14)=Année_Calendaire,MONTH(Juin_Dim1+14)=6),Juin_Dim1+14,""),IF(AND(YEAR(Juin_Dim1+21)=Année_Calendaire,MONTH(Juin_Dim1+21)=6),Juin_Dim1+21,""))</f>
        <v>42540</v>
      </c>
      <c r="AB96" s="96"/>
      <c r="AC96" s="78"/>
      <c r="AD96" s="67">
        <f>IF(DAY(Juin_Dim1)=1,IF(AND(YEAR(Juin_Dim1+15)=Année_Calendaire,MONTH(Juin_Dim1+15)=6),Juin_Dim1+15,""),IF(AND(YEAR(Juin_Dim1+22)=Année_Calendaire,MONTH(Juin_Dim1+22)=6),Juin_Dim1+22,""))</f>
        <v>42541</v>
      </c>
      <c r="AE96" s="67">
        <f>IF(DAY(Juin_Dim1)=1,IF(AND(YEAR(Juin_Dim1+16)=Année_Calendaire,MONTH(Juin_Dim1+16)=6),Juin_Dim1+16,""),IF(AND(YEAR(Juin_Dim1+23)=Année_Calendaire,MONTH(Juin_Dim1+23)=6),Juin_Dim1+23,""))</f>
        <v>42542</v>
      </c>
      <c r="AF96" s="67">
        <f>IF(DAY(Juin_Dim1)=1,IF(AND(YEAR(Juin_Dim1+17)=Année_Calendaire,MONTH(Juin_Dim1+17)=6),Juin_Dim1+17,""),IF(AND(YEAR(Juin_Dim1+24)=Année_Calendaire,MONTH(Juin_Dim1+24)=6),Juin_Dim1+24,""))</f>
        <v>42543</v>
      </c>
      <c r="AG96" s="67">
        <f>IF(DAY(Juin_Dim1)=1,IF(AND(YEAR(Juin_Dim1+18)=Année_Calendaire,MONTH(Juin_Dim1+18)=6),Juin_Dim1+18,""),IF(AND(YEAR(Juin_Dim1+25)=Année_Calendaire,MONTH(Juin_Dim1+25)=6),Juin_Dim1+25,""))</f>
        <v>42544</v>
      </c>
      <c r="AH96" s="67">
        <f>IF(DAY(Juin_Dim1)=1,IF(AND(YEAR(Juin_Dim1+19)=Année_Calendaire,MONTH(Juin_Dim1+19)=6),Juin_Dim1+19,""),IF(AND(YEAR(Juin_Dim1+26)=Année_Calendaire,MONTH(Juin_Dim1+26)=6),Juin_Dim1+26,""))</f>
        <v>42545</v>
      </c>
      <c r="AI96" s="67">
        <f>IF(DAY(Juin_Dim1)=1,IF(AND(YEAR(Juin_Dim1+20)=Année_Calendaire,MONTH(Juin_Dim1+20)=6),Juin_Dim1+20,""),IF(AND(YEAR(Juin_Dim1+27)=Année_Calendaire,MONTH(Juin_Dim1+27)=6),Juin_Dim1+27,""))</f>
        <v>42546</v>
      </c>
      <c r="AJ96" s="67">
        <f>IF(DAY(Juin_Dim1)=1,IF(AND(YEAR(Juin_Dim1+21)=Année_Calendaire,MONTH(Juin_Dim1+21)=6),Juin_Dim1+21,""),IF(AND(YEAR(Juin_Dim1+28)=Année_Calendaire,MONTH(Juin_Dim1+28)=6),Juin_Dim1+28,""))</f>
        <v>42547</v>
      </c>
      <c r="AK96" s="96"/>
      <c r="AL96" s="78"/>
      <c r="AM96" s="67">
        <f>IF(DAY(Juin_Dim1)=1,IF(AND(YEAR(Juin_Dim1+22)=Année_Calendaire,MONTH(Juin_Dim1+22)=6),Juin_Dim1+22,""),IF(AND(YEAR(Juin_Dim1+29)=Année_Calendaire,MONTH(Juin_Dim1+29)=6),Juin_Dim1+29,""))</f>
        <v>42548</v>
      </c>
      <c r="AN96" s="67">
        <f>IF(DAY(Juin_Dim1)=1,IF(AND(YEAR(Juin_Dim1+23)=Année_Calendaire,MONTH(Juin_Dim1+23)=6),Juin_Dim1+23,""),IF(AND(YEAR(Juin_Dim1+30)=Année_Calendaire,MONTH(Juin_Dim1+30)=6),Juin_Dim1+30,""))</f>
        <v>42549</v>
      </c>
      <c r="AO96" s="67">
        <f>IF(DAY(Juin_Dim1)=1,IF(AND(YEAR(Juin_Dim1+24)=Année_Calendaire,MONTH(Juin_Dim1+24)=6),Juin_Dim1+24,""),IF(AND(YEAR(Juin_Dim1+31)=Année_Calendaire,MONTH(Juin_Dim1+31)=6),Juin_Dim1+31,""))</f>
        <v>42550</v>
      </c>
      <c r="AP96" s="67">
        <f>IF(DAY(Juin_Dim1)=1,IF(AND(YEAR(Juin_Dim1+25)=Année_Calendaire,MONTH(Juin_Dim1+25)=6),Juin_Dim1+25,""),IF(AND(YEAR(Juin_Dim1+32)=Année_Calendaire,MONTH(Juin_Dim1+32)=6),Juin_Dim1+32,""))</f>
        <v>42551</v>
      </c>
      <c r="AQ96" s="67" t="str">
        <f>IF(DAY(Juin_Dim1)=1,IF(AND(YEAR(Juin_Dim1+26)=Année_Calendaire,MONTH(Juin_Dim1+26)=6),Juin_Dim1+26,""),IF(AND(YEAR(Juin_Dim1+33)=Année_Calendaire,MONTH(Juin_Dim1+33)=6),Juin_Dim1+33,""))</f>
        <v/>
      </c>
      <c r="AR96" s="67" t="str">
        <f>IF(DAY(Juin_Dim1)=1,IF(AND(YEAR(Juin_Dim1+27)=Année_Calendaire,MONTH(Juin_Dim1+27)=6),Juin_Dim1+27,""),IF(AND(YEAR(Juin_Dim1+34)=Année_Calendaire,MONTH(Juin_Dim1+34)=6),Juin_Dim1+34,""))</f>
        <v/>
      </c>
      <c r="AS96" s="67" t="str">
        <f>IF(DAY(Juin_Dim1)=1,IF(AND(YEAR(Juin_Dim1+28)=Année_Calendaire,MONTH(Juin_Dim1+28)=6),Juin_Dim1+28,""),IF(AND(YEAR(Juin_Dim1+35)=Année_Calendaire,MONTH(Juin_Dim1+35)=6),Juin_Dim1+35,""))</f>
        <v/>
      </c>
      <c r="AT96" s="96"/>
      <c r="AU96" s="78"/>
      <c r="AV96" s="61" t="str">
        <f>IF(DAY(Juin_Dim1)=1,IF(AND(YEAR(Juin_Dim1+29)=Année_Calendaire,MONTH(Juin_Dim1+29)=6),Juin_Dim1+29,""),IF(AND(YEAR(Juin_Dim1+36)=Année_Calendaire,MONTH(Juin_Dim1+36)=6),Juin_Dim1+36,""))</f>
        <v/>
      </c>
      <c r="AW96" s="61" t="str">
        <f>IF(DAY(Juin_Dim1)=1,IF(AND(YEAR(Juin_Dim1+30)=Année_Calendaire,MONTH(Juin_Dim1+30)=6),Juin_Dim1+30,""),IF(AND(YEAR(Juin_Dim1+37)=Année_Calendaire,MONTH(Juin_Dim1+37)=6),Juin_Dim1+37,""))</f>
        <v/>
      </c>
      <c r="AX96" s="96"/>
      <c r="AY96" s="96"/>
      <c r="AZ96" s="97"/>
      <c r="BA96" s="97"/>
      <c r="BB96" s="54"/>
      <c r="BC96" s="54"/>
      <c r="BD96" s="98"/>
      <c r="BE96" s="98"/>
      <c r="BF96" s="1"/>
    </row>
    <row r="97" spans="1:58" s="6" customFormat="1" ht="15" customHeight="1" x14ac:dyDescent="0.25">
      <c r="A97" s="21" t="s">
        <v>2</v>
      </c>
      <c r="B97" s="81"/>
      <c r="C97" s="60">
        <f>IFERROR(VLOOKUP(B95,DATA!$A:$H,2,TRUE),0)</f>
        <v>0</v>
      </c>
      <c r="D97" s="60">
        <f>IFERROR(VLOOKUP(B95,DATA!$A:$H,3,TRUE),0)</f>
        <v>0</v>
      </c>
      <c r="E97" s="60">
        <f>IFERROR(VLOOKUP(B95,DATA!$A:$H,4,TRUE),0)</f>
        <v>0</v>
      </c>
      <c r="F97" s="60">
        <f>IFERROR(VLOOKUP(B95,DATA!$A:$H,5,TRUE),0)</f>
        <v>0</v>
      </c>
      <c r="G97" s="60">
        <f>IFERROR(VLOOKUP(B95,DATA!$A:$H,6,TRUE),0)</f>
        <v>0</v>
      </c>
      <c r="H97" s="60">
        <f>IFERROR(VLOOKUP(B95,DATA!$A:$H,7,TRUE),0)</f>
        <v>0</v>
      </c>
      <c r="I97" s="60">
        <f>IFERROR(VLOOKUP(B95,DATA!$A:$H,8,TRUE),0)</f>
        <v>0</v>
      </c>
      <c r="J97" s="60"/>
      <c r="K97" s="60"/>
      <c r="L97" s="60">
        <f>IFERROR(VLOOKUP(K95,DATA!$A:$H,2,TRUE),0)</f>
        <v>0</v>
      </c>
      <c r="M97" s="60">
        <f>IFERROR(VLOOKUP(K95,DATA!$A:$H,3,TRUE),0)</f>
        <v>0</v>
      </c>
      <c r="N97" s="60">
        <f>IFERROR(VLOOKUP(K95,DATA!$A:$H,4,TRUE),0)</f>
        <v>0</v>
      </c>
      <c r="O97" s="60">
        <f>IFERROR(VLOOKUP(K95,DATA!$A:$H,5,TRUE),0)</f>
        <v>0</v>
      </c>
      <c r="P97" s="60">
        <f>IFERROR(VLOOKUP(K95,DATA!$A:$H,6,TRUE),0)</f>
        <v>0</v>
      </c>
      <c r="Q97" s="60">
        <f>IFERROR(VLOOKUP(K95,DATA!$A:$H,7,TRUE),0)</f>
        <v>0</v>
      </c>
      <c r="R97" s="60">
        <f>IFERROR(VLOOKUP(K95,DATA!$A:$H,8,TRUE),0)</f>
        <v>0</v>
      </c>
      <c r="S97" s="60"/>
      <c r="T97" s="60"/>
      <c r="U97" s="60">
        <f>IFERROR(VLOOKUP(T95,DATA!$A:$H,2,TRUE),0)</f>
        <v>0</v>
      </c>
      <c r="V97" s="60">
        <f>IFERROR(VLOOKUP(T95,DATA!$A:$H,3,TRUE),0)</f>
        <v>0</v>
      </c>
      <c r="W97" s="60">
        <f>IFERROR(VLOOKUP(T95,DATA!$A:$H,4,TRUE),0)</f>
        <v>0</v>
      </c>
      <c r="X97" s="60">
        <f>IFERROR(VLOOKUP(T95,DATA!$A:$H,5,TRUE),0)</f>
        <v>0</v>
      </c>
      <c r="Y97" s="60">
        <f>IFERROR(VLOOKUP(T95,DATA!$A:$H,6,TRUE),0)</f>
        <v>0</v>
      </c>
      <c r="Z97" s="60">
        <f>IFERROR(VLOOKUP(T95,DATA!$A:$H,7,TRUE),0)</f>
        <v>0</v>
      </c>
      <c r="AA97" s="60">
        <f>IFERROR(VLOOKUP(T95,DATA!$A:$H,8,TRUE),0)</f>
        <v>0</v>
      </c>
      <c r="AB97" s="60"/>
      <c r="AC97" s="60"/>
      <c r="AD97" s="60">
        <f>IFERROR(VLOOKUP(AC95,DATA!$A:$H,2,TRUE),0)</f>
        <v>0</v>
      </c>
      <c r="AE97" s="60">
        <f>IFERROR(VLOOKUP(AC95,DATA!$A:$H,3,TRUE),0)</f>
        <v>0</v>
      </c>
      <c r="AF97" s="60">
        <f>IFERROR(VLOOKUP(AC95,DATA!$A:$H,4,TRUE),0)</f>
        <v>0</v>
      </c>
      <c r="AG97" s="60">
        <f>IFERROR(VLOOKUP(AC95,DATA!$A:$H,5,TRUE),0)</f>
        <v>0</v>
      </c>
      <c r="AH97" s="60">
        <f>IFERROR(VLOOKUP(AC95,DATA!$A:$H,6,TRUE),0)</f>
        <v>0</v>
      </c>
      <c r="AI97" s="60">
        <f>IFERROR(VLOOKUP(AC95,DATA!$A:$H,7,TRUE),0)</f>
        <v>0</v>
      </c>
      <c r="AJ97" s="60">
        <f>IFERROR(VLOOKUP(AC95,DATA!$A:$H,8,TRUE),0)</f>
        <v>0</v>
      </c>
      <c r="AK97" s="60"/>
      <c r="AL97" s="60"/>
      <c r="AM97" s="60">
        <f>IFERROR(VLOOKUP(AL95,DATA!$A:$H,2,TRUE),0)</f>
        <v>0</v>
      </c>
      <c r="AN97" s="60">
        <f>IFERROR(VLOOKUP(AL95,DATA!$A:$H,3,TRUE),0)</f>
        <v>0</v>
      </c>
      <c r="AO97" s="60">
        <f>IFERROR(VLOOKUP(AL95,DATA!$A:$H,4,TRUE),0)</f>
        <v>0</v>
      </c>
      <c r="AP97" s="60">
        <f>IFERROR(VLOOKUP(AL95,DATA!$A:$H,5,TRUE),0)</f>
        <v>0</v>
      </c>
      <c r="AQ97" s="60">
        <f>IFERROR(VLOOKUP(AL95,DATA!$A:$H,6,TRUE),0)</f>
        <v>0</v>
      </c>
      <c r="AR97" s="60">
        <f>IFERROR(VLOOKUP(AL95,DATA!$A:$H,7,TRUE),0)</f>
        <v>0</v>
      </c>
      <c r="AS97" s="60">
        <f>IFERROR(VLOOKUP(AL95,DATA!$A:$H,8,TRUE),0)</f>
        <v>0</v>
      </c>
      <c r="AT97" s="60"/>
      <c r="AU97" s="60"/>
      <c r="AV97" s="60" t="str">
        <f>IFERROR(VLOOKUP(AU95,DATA!$A:$H,2,TRUE),0)</f>
        <v>matin</v>
      </c>
      <c r="AW97" s="60">
        <f>IFERROR(VLOOKUP(AU95,DATA!$A:$H,3,TRUE),0)</f>
        <v>0</v>
      </c>
      <c r="AX97" s="60"/>
      <c r="AY97" s="63"/>
      <c r="AZ97" s="59"/>
      <c r="BA97" s="54"/>
      <c r="BB97" s="54"/>
      <c r="BC97" s="54"/>
      <c r="BD97" s="98"/>
      <c r="BE97" s="98"/>
      <c r="BF97" s="5"/>
    </row>
    <row r="98" spans="1:58" s="6" customFormat="1" ht="15" customHeight="1" x14ac:dyDescent="0.25">
      <c r="A98" s="21" t="s">
        <v>12</v>
      </c>
      <c r="B98" s="81"/>
      <c r="C98" s="60">
        <f t="shared" ref="C98:I98" si="231">IF(C97="Matin",1,IF(C97="AM",1,0))</f>
        <v>0</v>
      </c>
      <c r="D98" s="60">
        <f t="shared" si="231"/>
        <v>0</v>
      </c>
      <c r="E98" s="60">
        <f t="shared" si="231"/>
        <v>0</v>
      </c>
      <c r="F98" s="60">
        <f t="shared" si="231"/>
        <v>0</v>
      </c>
      <c r="G98" s="60">
        <f t="shared" si="231"/>
        <v>0</v>
      </c>
      <c r="H98" s="60">
        <f t="shared" si="231"/>
        <v>0</v>
      </c>
      <c r="I98" s="60">
        <f t="shared" si="231"/>
        <v>0</v>
      </c>
      <c r="J98" s="60">
        <f>SUM(C98:I98)</f>
        <v>0</v>
      </c>
      <c r="K98" s="60"/>
      <c r="L98" s="60">
        <f t="shared" ref="L98:R98" si="232">IF(L97="Matin",1,IF(L97="AM",1,0))</f>
        <v>0</v>
      </c>
      <c r="M98" s="60">
        <f t="shared" si="232"/>
        <v>0</v>
      </c>
      <c r="N98" s="60">
        <f t="shared" si="232"/>
        <v>0</v>
      </c>
      <c r="O98" s="60">
        <f t="shared" si="232"/>
        <v>0</v>
      </c>
      <c r="P98" s="60">
        <f t="shared" si="232"/>
        <v>0</v>
      </c>
      <c r="Q98" s="60">
        <f t="shared" si="232"/>
        <v>0</v>
      </c>
      <c r="R98" s="60">
        <f t="shared" si="232"/>
        <v>0</v>
      </c>
      <c r="S98" s="60">
        <f>SUM(L98:R98)</f>
        <v>0</v>
      </c>
      <c r="T98" s="60"/>
      <c r="U98" s="60">
        <f t="shared" ref="U98:AA98" si="233">IF(U97="Matin",1,IF(U97="AM",1,0))</f>
        <v>0</v>
      </c>
      <c r="V98" s="60">
        <f t="shared" si="233"/>
        <v>0</v>
      </c>
      <c r="W98" s="60">
        <f t="shared" si="233"/>
        <v>0</v>
      </c>
      <c r="X98" s="60">
        <f t="shared" si="233"/>
        <v>0</v>
      </c>
      <c r="Y98" s="60">
        <f t="shared" si="233"/>
        <v>0</v>
      </c>
      <c r="Z98" s="60">
        <f t="shared" si="233"/>
        <v>0</v>
      </c>
      <c r="AA98" s="60">
        <f t="shared" si="233"/>
        <v>0</v>
      </c>
      <c r="AB98" s="60">
        <f>SUM(U98:AA98)</f>
        <v>0</v>
      </c>
      <c r="AC98" s="60"/>
      <c r="AD98" s="60">
        <f t="shared" ref="AD98:AJ98" si="234">IF(AD97="Matin",1,IF(AD97="AM",1,0))</f>
        <v>0</v>
      </c>
      <c r="AE98" s="60">
        <f t="shared" si="234"/>
        <v>0</v>
      </c>
      <c r="AF98" s="60">
        <f t="shared" si="234"/>
        <v>0</v>
      </c>
      <c r="AG98" s="60">
        <f t="shared" si="234"/>
        <v>0</v>
      </c>
      <c r="AH98" s="60">
        <f t="shared" si="234"/>
        <v>0</v>
      </c>
      <c r="AI98" s="60">
        <f t="shared" si="234"/>
        <v>0</v>
      </c>
      <c r="AJ98" s="60">
        <f t="shared" si="234"/>
        <v>0</v>
      </c>
      <c r="AK98" s="60">
        <f>SUM(AD98:AJ98)</f>
        <v>0</v>
      </c>
      <c r="AL98" s="60"/>
      <c r="AM98" s="60">
        <f t="shared" ref="AM98:AS98" si="235">IF(AM97="Matin",1,IF(AM97="AM",1,0))</f>
        <v>0</v>
      </c>
      <c r="AN98" s="60">
        <f t="shared" si="235"/>
        <v>0</v>
      </c>
      <c r="AO98" s="60">
        <f t="shared" si="235"/>
        <v>0</v>
      </c>
      <c r="AP98" s="60">
        <f t="shared" si="235"/>
        <v>0</v>
      </c>
      <c r="AQ98" s="60">
        <f t="shared" si="235"/>
        <v>0</v>
      </c>
      <c r="AR98" s="60">
        <f t="shared" si="235"/>
        <v>0</v>
      </c>
      <c r="AS98" s="60">
        <f t="shared" si="235"/>
        <v>0</v>
      </c>
      <c r="AT98" s="60">
        <f>SUM(AM98:AS98)</f>
        <v>0</v>
      </c>
      <c r="AU98" s="60"/>
      <c r="AV98" s="60">
        <f t="shared" ref="AV98:AW98" si="236">IF(AV97="Matin",1,IF(AV97="AM",1,0))</f>
        <v>1</v>
      </c>
      <c r="AW98" s="60">
        <f t="shared" si="236"/>
        <v>0</v>
      </c>
      <c r="AX98" s="60">
        <f t="shared" ref="AX98:AX105" si="237">SUM(AV98:AW98)</f>
        <v>1</v>
      </c>
      <c r="AY98" s="60">
        <f>J98+S98+AB98+AK98+AT98+AX98</f>
        <v>1</v>
      </c>
      <c r="AZ98" s="59"/>
      <c r="BA98" s="99"/>
      <c r="BB98" s="99"/>
      <c r="BC98" s="55"/>
      <c r="BD98" s="17"/>
      <c r="BE98" s="17"/>
      <c r="BF98" s="5"/>
    </row>
    <row r="99" spans="1:58" ht="15" customHeight="1" x14ac:dyDescent="0.25">
      <c r="A99" s="21" t="s">
        <v>4</v>
      </c>
      <c r="B99" s="81"/>
      <c r="C99" s="60">
        <f>IF(C100&gt;=1,1,0)</f>
        <v>0</v>
      </c>
      <c r="D99" s="60">
        <f>IF(D100&gt;=1,1,0)</f>
        <v>0</v>
      </c>
      <c r="E99" s="60">
        <f t="shared" ref="E99:I99" si="238">IF(E100&gt;=1,1,0)</f>
        <v>0</v>
      </c>
      <c r="F99" s="60">
        <f t="shared" si="238"/>
        <v>0</v>
      </c>
      <c r="G99" s="60">
        <f t="shared" si="238"/>
        <v>0</v>
      </c>
      <c r="H99" s="60">
        <f t="shared" si="238"/>
        <v>0</v>
      </c>
      <c r="I99" s="60">
        <f t="shared" si="238"/>
        <v>0</v>
      </c>
      <c r="J99" s="60">
        <f t="shared" ref="J99:J109" si="239">SUM(C99:I99)</f>
        <v>0</v>
      </c>
      <c r="K99" s="60"/>
      <c r="L99" s="60">
        <f>IF(L100&gt;=1,1,0)</f>
        <v>0</v>
      </c>
      <c r="M99" s="60">
        <f t="shared" ref="M99:R99" si="240">IF(M100&gt;=1,1,0)</f>
        <v>0</v>
      </c>
      <c r="N99" s="60">
        <f t="shared" si="240"/>
        <v>0</v>
      </c>
      <c r="O99" s="60">
        <f t="shared" si="240"/>
        <v>0</v>
      </c>
      <c r="P99" s="60">
        <f t="shared" si="240"/>
        <v>0</v>
      </c>
      <c r="Q99" s="60">
        <f t="shared" si="240"/>
        <v>0</v>
      </c>
      <c r="R99" s="60">
        <f t="shared" si="240"/>
        <v>0</v>
      </c>
      <c r="S99" s="60">
        <f t="shared" ref="S99:S109" si="241">SUM(L99:R99)</f>
        <v>0</v>
      </c>
      <c r="T99" s="60"/>
      <c r="U99" s="60">
        <f>IF(U100&gt;=1,1,0)</f>
        <v>0</v>
      </c>
      <c r="V99" s="60">
        <f t="shared" ref="V99:AA99" si="242">IF(V100&gt;=1,1,0)</f>
        <v>0</v>
      </c>
      <c r="W99" s="60">
        <f t="shared" si="242"/>
        <v>0</v>
      </c>
      <c r="X99" s="60">
        <f t="shared" si="242"/>
        <v>0</v>
      </c>
      <c r="Y99" s="60">
        <f t="shared" si="242"/>
        <v>0</v>
      </c>
      <c r="Z99" s="60">
        <f t="shared" si="242"/>
        <v>0</v>
      </c>
      <c r="AA99" s="60">
        <f t="shared" si="242"/>
        <v>0</v>
      </c>
      <c r="AB99" s="60">
        <f t="shared" ref="AB99:AB109" si="243">SUM(U99:AA99)</f>
        <v>0</v>
      </c>
      <c r="AC99" s="60"/>
      <c r="AD99" s="60">
        <f>IF(AD100&gt;=1,1,0)</f>
        <v>0</v>
      </c>
      <c r="AE99" s="60">
        <f t="shared" ref="AE99:AJ99" si="244">IF(AE100&gt;=1,1,0)</f>
        <v>0</v>
      </c>
      <c r="AF99" s="60">
        <f t="shared" si="244"/>
        <v>0</v>
      </c>
      <c r="AG99" s="60">
        <f t="shared" si="244"/>
        <v>0</v>
      </c>
      <c r="AH99" s="60">
        <f t="shared" si="244"/>
        <v>0</v>
      </c>
      <c r="AI99" s="60">
        <f t="shared" si="244"/>
        <v>0</v>
      </c>
      <c r="AJ99" s="60">
        <f t="shared" si="244"/>
        <v>0</v>
      </c>
      <c r="AK99" s="60">
        <f t="shared" ref="AK99:AK109" si="245">SUM(AD99:AJ99)</f>
        <v>0</v>
      </c>
      <c r="AL99" s="60"/>
      <c r="AM99" s="60">
        <f>IF(AM100&gt;=1,1,0)</f>
        <v>0</v>
      </c>
      <c r="AN99" s="60">
        <f t="shared" ref="AN99:AS99" si="246">IF(AN100&gt;=1,1,0)</f>
        <v>0</v>
      </c>
      <c r="AO99" s="60">
        <f t="shared" si="246"/>
        <v>0</v>
      </c>
      <c r="AP99" s="60">
        <f t="shared" si="246"/>
        <v>0</v>
      </c>
      <c r="AQ99" s="60">
        <f t="shared" si="246"/>
        <v>0</v>
      </c>
      <c r="AR99" s="60">
        <f t="shared" si="246"/>
        <v>0</v>
      </c>
      <c r="AS99" s="60">
        <f t="shared" si="246"/>
        <v>0</v>
      </c>
      <c r="AT99" s="60">
        <f t="shared" ref="AT99:AT109" si="247">SUM(AM99:AS99)</f>
        <v>0</v>
      </c>
      <c r="AU99" s="60"/>
      <c r="AV99" s="60">
        <f>IF(AV100&gt;=1,1,0)</f>
        <v>1</v>
      </c>
      <c r="AW99" s="60">
        <f t="shared" ref="AW99" si="248">IF(AW100&gt;=1,1,0)</f>
        <v>0</v>
      </c>
      <c r="AX99" s="60">
        <f t="shared" si="237"/>
        <v>1</v>
      </c>
      <c r="AY99" s="60">
        <f t="shared" ref="AY99:AY108" si="249">J99+S99+AB99+AK99+AT99+AX99</f>
        <v>1</v>
      </c>
      <c r="AZ99" s="59"/>
      <c r="BA99" s="44"/>
      <c r="BB99" s="44"/>
      <c r="BC99" s="44"/>
      <c r="BD99" s="9"/>
      <c r="BE99" s="43"/>
      <c r="BF99" s="44"/>
    </row>
    <row r="100" spans="1:58" ht="15" customHeight="1" x14ac:dyDescent="0.25">
      <c r="A100" s="21" t="s">
        <v>3</v>
      </c>
      <c r="B100" s="81"/>
      <c r="C100" s="60">
        <f>IF(C97="Matin",8,IF(C97="AM",8,IF(C97="nuit",8,0)))</f>
        <v>0</v>
      </c>
      <c r="D100" s="60">
        <f t="shared" ref="D100:I100" si="250">IF(D97="Matin",8,IF(D97="AM",8,IF(D97="nuit",8,0)))</f>
        <v>0</v>
      </c>
      <c r="E100" s="60">
        <f t="shared" si="250"/>
        <v>0</v>
      </c>
      <c r="F100" s="60">
        <f t="shared" si="250"/>
        <v>0</v>
      </c>
      <c r="G100" s="60">
        <f t="shared" si="250"/>
        <v>0</v>
      </c>
      <c r="H100" s="60">
        <f t="shared" si="250"/>
        <v>0</v>
      </c>
      <c r="I100" s="60">
        <f t="shared" si="250"/>
        <v>0</v>
      </c>
      <c r="J100" s="60">
        <f t="shared" si="239"/>
        <v>0</v>
      </c>
      <c r="K100" s="60"/>
      <c r="L100" s="60">
        <f>IF(L97="Matin",8,IF(L97="AM",8,IF(L97="nuit",8,0)))</f>
        <v>0</v>
      </c>
      <c r="M100" s="60">
        <f t="shared" ref="M100:R100" si="251">IF(M97="Matin",8,IF(M97="AM",8,IF(M97="nuit",8,0)))</f>
        <v>0</v>
      </c>
      <c r="N100" s="60">
        <f t="shared" si="251"/>
        <v>0</v>
      </c>
      <c r="O100" s="60">
        <f t="shared" si="251"/>
        <v>0</v>
      </c>
      <c r="P100" s="60">
        <f t="shared" si="251"/>
        <v>0</v>
      </c>
      <c r="Q100" s="60">
        <f t="shared" si="251"/>
        <v>0</v>
      </c>
      <c r="R100" s="60">
        <f t="shared" si="251"/>
        <v>0</v>
      </c>
      <c r="S100" s="60">
        <f t="shared" si="241"/>
        <v>0</v>
      </c>
      <c r="T100" s="60"/>
      <c r="U100" s="60">
        <f>IF(U97="Matin",8,IF(U97="AM",8,IF(U97="nuit",8,0)))</f>
        <v>0</v>
      </c>
      <c r="V100" s="60">
        <f t="shared" ref="V100:AA100" si="252">IF(V97="Matin",8,IF(V97="AM",8,IF(V97="nuit",8,0)))</f>
        <v>0</v>
      </c>
      <c r="W100" s="60">
        <f t="shared" si="252"/>
        <v>0</v>
      </c>
      <c r="X100" s="60">
        <f t="shared" si="252"/>
        <v>0</v>
      </c>
      <c r="Y100" s="60">
        <f t="shared" si="252"/>
        <v>0</v>
      </c>
      <c r="Z100" s="60">
        <f t="shared" si="252"/>
        <v>0</v>
      </c>
      <c r="AA100" s="60">
        <f t="shared" si="252"/>
        <v>0</v>
      </c>
      <c r="AB100" s="60">
        <f t="shared" si="243"/>
        <v>0</v>
      </c>
      <c r="AC100" s="60"/>
      <c r="AD100" s="60">
        <f>IF(AD97="Matin",8,IF(AD97="AM",8,IF(AD97="nuit",8,0)))</f>
        <v>0</v>
      </c>
      <c r="AE100" s="60">
        <f t="shared" ref="AE100:AJ100" si="253">IF(AE97="Matin",8,IF(AE97="AM",8,IF(AE97="nuit",8,0)))</f>
        <v>0</v>
      </c>
      <c r="AF100" s="60">
        <f t="shared" si="253"/>
        <v>0</v>
      </c>
      <c r="AG100" s="60">
        <f t="shared" si="253"/>
        <v>0</v>
      </c>
      <c r="AH100" s="60">
        <f t="shared" si="253"/>
        <v>0</v>
      </c>
      <c r="AI100" s="60">
        <f t="shared" si="253"/>
        <v>0</v>
      </c>
      <c r="AJ100" s="60">
        <f t="shared" si="253"/>
        <v>0</v>
      </c>
      <c r="AK100" s="60">
        <f t="shared" si="245"/>
        <v>0</v>
      </c>
      <c r="AL100" s="60"/>
      <c r="AM100" s="60">
        <f>IF(AM97="Matin",8,IF(AM97="AM",8,IF(AM97="nuit",8,0)))</f>
        <v>0</v>
      </c>
      <c r="AN100" s="60">
        <f t="shared" ref="AN100:AS100" si="254">IF(AN97="Matin",8,IF(AN97="AM",8,IF(AN97="nuit",8,0)))</f>
        <v>0</v>
      </c>
      <c r="AO100" s="60">
        <f t="shared" si="254"/>
        <v>0</v>
      </c>
      <c r="AP100" s="60">
        <f t="shared" si="254"/>
        <v>0</v>
      </c>
      <c r="AQ100" s="60">
        <f t="shared" si="254"/>
        <v>0</v>
      </c>
      <c r="AR100" s="60">
        <f t="shared" si="254"/>
        <v>0</v>
      </c>
      <c r="AS100" s="60">
        <f t="shared" si="254"/>
        <v>0</v>
      </c>
      <c r="AT100" s="60">
        <f t="shared" si="247"/>
        <v>0</v>
      </c>
      <c r="AU100" s="60"/>
      <c r="AV100" s="60">
        <f>IF(AV97="Matin",8,IF(AV97="AM",8,IF(AV97="nuit",8,0)))</f>
        <v>8</v>
      </c>
      <c r="AW100" s="60">
        <f t="shared" ref="AW100" si="255">IF(AW97="Matin",8,IF(AW97="AM",8,IF(AW97="nuit",8,0)))</f>
        <v>0</v>
      </c>
      <c r="AX100" s="60">
        <f t="shared" si="237"/>
        <v>8</v>
      </c>
      <c r="AY100" s="60">
        <f t="shared" si="249"/>
        <v>8</v>
      </c>
      <c r="AZ100" s="59"/>
      <c r="BA100" s="44"/>
      <c r="BB100" s="44"/>
      <c r="BC100" s="44"/>
      <c r="BD100" s="9"/>
      <c r="BE100" s="43"/>
      <c r="BF100" s="44"/>
    </row>
    <row r="101" spans="1:58" ht="15" customHeight="1" x14ac:dyDescent="0.25">
      <c r="A101" s="36" t="s">
        <v>20</v>
      </c>
      <c r="B101" s="82"/>
      <c r="C101" s="66">
        <f>IF(C95&lt;&gt;"Dim",IF(C100&gt;32,MIN(C100,35)-32,0),0)</f>
        <v>0</v>
      </c>
      <c r="D101" s="66">
        <f>IF(D95&lt;&gt;"Dim",IF(SUM($C100:D100)&gt;32,MIN(SUM($C100:D100),35)-32-SUM($C101:C101),0),0)</f>
        <v>0</v>
      </c>
      <c r="E101" s="66">
        <f>IF(E95&lt;&gt;"Dim",IF(SUM($C100:E100)&gt;32,MIN(SUM($C100:E100),35)-32-SUM($C101:D101),0),0)</f>
        <v>0</v>
      </c>
      <c r="F101" s="66">
        <f>IF(F95&lt;&gt;"Dim",IF(SUM($C100:F100)&gt;32,MIN(SUM($C100:F100),35)-32-SUM($C101:E101),0),0)</f>
        <v>0</v>
      </c>
      <c r="G101" s="66">
        <f>IF(G95&lt;&gt;"Dim",IF(SUM($C100:G100)&gt;32,MIN(SUM($C100:G100),35)-32-SUM($C101:F101),0),0)</f>
        <v>0</v>
      </c>
      <c r="H101" s="66">
        <f>IF(H95&lt;&gt;"Dim",IF(SUM($C100:H100)&gt;32,MIN(SUM($C100:H100),35)-32-SUM($C101:G101),0),0)</f>
        <v>0</v>
      </c>
      <c r="I101" s="66">
        <f>IF(I95&lt;&gt;"Dim",IF(SUM($C100:I100)&gt;32,MIN(SUM($C100:I100),35)-32-SUM($C101:H101),0),0)</f>
        <v>0</v>
      </c>
      <c r="J101" s="60">
        <f t="shared" si="239"/>
        <v>0</v>
      </c>
      <c r="K101" s="60"/>
      <c r="L101" s="66">
        <f>IF(L95&lt;&gt;"Dim",IF(L100&gt;32,MIN(L100,35)-32,0),0)</f>
        <v>0</v>
      </c>
      <c r="M101" s="66">
        <f>IF(M95&lt;&gt;"Dim",IF(SUM($L100:M100)&gt;32,MIN(SUM($L100:M100),35)-32-SUM($L101:L101),0),0)</f>
        <v>0</v>
      </c>
      <c r="N101" s="66">
        <f>IF(N95&lt;&gt;"Dim",IF(SUM($L100:N100)&gt;32,MIN(SUM($L100:N100),35)-32-SUM($L101:M101),0),0)</f>
        <v>0</v>
      </c>
      <c r="O101" s="66">
        <f>IF(O95&lt;&gt;"Dim",IF(SUM($L100:O100)&gt;32,MIN(SUM($L100:O100),35)-32-SUM($L101:N101),0),0)</f>
        <v>0</v>
      </c>
      <c r="P101" s="66">
        <f>IF(P95&lt;&gt;"Dim",IF(SUM($L100:P100)&gt;32,MIN(SUM($L100:P100),35)-32-SUM($L101:O101),0),0)</f>
        <v>0</v>
      </c>
      <c r="Q101" s="66">
        <f>IF(Q95&lt;&gt;"Dim",IF(SUM($L100:Q100)&gt;32,MIN(SUM($L100:Q100),35)-32-SUM($L101:P101),0),0)</f>
        <v>0</v>
      </c>
      <c r="R101" s="66">
        <f>IF(R95&lt;&gt;"Dim",IF(SUM($L100:R100)&gt;32,MIN(SUM($L100:R100),35)-32-SUM($L101:Q101),0),0)</f>
        <v>0</v>
      </c>
      <c r="S101" s="60">
        <f t="shared" si="241"/>
        <v>0</v>
      </c>
      <c r="T101" s="60"/>
      <c r="U101" s="66">
        <f>IF(U95&lt;&gt;"Dim",IF(U100&gt;32,MIN(U100,35)-32,0),0)</f>
        <v>0</v>
      </c>
      <c r="V101" s="66">
        <f>IF(V95&lt;&gt;"Dim",IF(SUM($U100:V100)&gt;32,MIN(SUM($U100:V100),35)-32-SUM($U101:U101),0),0)</f>
        <v>0</v>
      </c>
      <c r="W101" s="66">
        <f>IF(W95&lt;&gt;"Dim",IF(SUM($U100:W100)&gt;32,MIN(SUM($U100:W100),35)-32-SUM($U101:V101),0),0)</f>
        <v>0</v>
      </c>
      <c r="X101" s="66">
        <f>IF(X95&lt;&gt;"Dim",IF(SUM($U100:X100)&gt;32,MIN(SUM($U100:X100),35)-32-SUM($U101:W101),0),0)</f>
        <v>0</v>
      </c>
      <c r="Y101" s="66">
        <f>IF(Y95&lt;&gt;"Dim",IF(SUM($U100:Y100)&gt;32,MIN(SUM($U100:Y100),35)-32-SUM($U101:X101),0),0)</f>
        <v>0</v>
      </c>
      <c r="Z101" s="66">
        <f>IF(Z95&lt;&gt;"Dim",IF(SUM($U100:Z100)&gt;32,MIN(SUM($U100:Z100),35)-32-SUM($U101:Y101),0),0)</f>
        <v>0</v>
      </c>
      <c r="AA101" s="66">
        <f>IF(AA95&lt;&gt;"Dim",IF(SUM($U100:AA100)&gt;32,MIN(SUM($U100:AA100),35)-32-SUM($U101:Z101),0),0)</f>
        <v>0</v>
      </c>
      <c r="AB101" s="60">
        <f t="shared" si="243"/>
        <v>0</v>
      </c>
      <c r="AC101" s="60"/>
      <c r="AD101" s="66">
        <f>IF(AD95&lt;&gt;"Dim",IF(AD100&gt;32,MIN(AD100,35)-32,0),0)</f>
        <v>0</v>
      </c>
      <c r="AE101" s="66">
        <f>IF(AE95&lt;&gt;"Dim",IF(SUM($AD100:AE100)&gt;32,MIN(SUM($AD100:AE100),35)-32-SUM($AD101:AD101),0),0)</f>
        <v>0</v>
      </c>
      <c r="AF101" s="66">
        <f>IF(AF95&lt;&gt;"Dim",IF(SUM($AD100:AF100)&gt;32,MIN(SUM($AD100:AF100),35)-32-SUM($AD101:AE101),0),0)</f>
        <v>0</v>
      </c>
      <c r="AG101" s="66">
        <f>IF(AG95&lt;&gt;"Dim",IF(SUM($AD100:AG100)&gt;32,MIN(SUM($AD100:AG100),35)-32-SUM($AD101:AF101),0),0)</f>
        <v>0</v>
      </c>
      <c r="AH101" s="66">
        <f>IF(AH95&lt;&gt;"Dim",IF(SUM($AD100:AH100)&gt;32,MIN(SUM($AD100:AH100),35)-32-SUM($AD101:AG101),0),0)</f>
        <v>0</v>
      </c>
      <c r="AI101" s="66">
        <f>IF(AI95&lt;&gt;"Dim",IF(SUM($AD100:AI100)&gt;32,MIN(SUM($AD100:AI100),35)-32-SUM($AD101:AH101),0),0)</f>
        <v>0</v>
      </c>
      <c r="AJ101" s="66">
        <f>IF(AJ95&lt;&gt;"Dim",IF(SUM($AD100:AJ100)&gt;32,MIN(SUM($AD100:AJ100),35)-32-SUM($AD101:AI101),0),0)</f>
        <v>0</v>
      </c>
      <c r="AK101" s="60">
        <f t="shared" si="245"/>
        <v>0</v>
      </c>
      <c r="AL101" s="60"/>
      <c r="AM101" s="66">
        <f>IF(AM95&lt;&gt;"Dim",IF(AM100&gt;32,MIN(AM100,35)-32,0),0)</f>
        <v>0</v>
      </c>
      <c r="AN101" s="66">
        <f>IF(AN95&lt;&gt;"Dim",IF(SUM($AM100:AN100)&gt;32,MIN(SUM($AM100:AN100),35)-32-SUM($AM101:AM101),0),0)</f>
        <v>0</v>
      </c>
      <c r="AO101" s="66">
        <f>IF(AO95&lt;&gt;"Dim",IF(SUM($AM100:AO100)&gt;32,MIN(SUM($AM100:AO100),35)-32-SUM($AM101:AN101),0),0)</f>
        <v>0</v>
      </c>
      <c r="AP101" s="66">
        <f>IF(AP95&lt;&gt;"Dim",IF(SUM($AM100:AP100)&gt;32,MIN(SUM($AM100:AP100),35)-32-SUM($AM101:AO101),0),0)</f>
        <v>0</v>
      </c>
      <c r="AQ101" s="66">
        <f>IF(AQ95&lt;&gt;"Dim",IF(SUM($AM100:AQ100)&gt;32,MIN(SUM($AM100:AQ100),35)-32-SUM($AM101:AP101),0),0)</f>
        <v>0</v>
      </c>
      <c r="AR101" s="66">
        <f>IF(AR95&lt;&gt;"Dim",IF(SUM($AM100:AR100)&gt;32,MIN(SUM($AM100:AR100),35)-32-SUM($AM101:AQ101),0),0)</f>
        <v>0</v>
      </c>
      <c r="AS101" s="66">
        <f>IF(AS95&lt;&gt;"Dim",IF(SUM($AM100:AS100)&gt;32,MIN(SUM($AM100:AS100),35)-32-SUM($AM101:AR101),0),0)</f>
        <v>0</v>
      </c>
      <c r="AT101" s="60">
        <f t="shared" si="247"/>
        <v>0</v>
      </c>
      <c r="AU101" s="60"/>
      <c r="AV101" s="66">
        <f>IF(AV95&lt;&gt;"Dim",IF(AV100&gt;32,MIN(AV100,35)-32,0),0)</f>
        <v>0</v>
      </c>
      <c r="AW101" s="66">
        <f>IF(AW95&lt;&gt;"Dim",IF(SUM($AV100:AW100)&gt;32,MIN(SUM($AV100:AW100),35)-32-SUM($AV101:AV101),0),0)</f>
        <v>0</v>
      </c>
      <c r="AX101" s="60">
        <f t="shared" si="237"/>
        <v>0</v>
      </c>
      <c r="AY101" s="60">
        <f t="shared" si="249"/>
        <v>0</v>
      </c>
      <c r="AZ101" s="59"/>
      <c r="BA101" s="9"/>
      <c r="BB101" s="57"/>
      <c r="BC101" s="44"/>
      <c r="BD101" s="9"/>
      <c r="BE101" s="43"/>
      <c r="BF101" s="44"/>
    </row>
    <row r="102" spans="1:58" x14ac:dyDescent="0.25">
      <c r="A102" s="21" t="s">
        <v>6</v>
      </c>
      <c r="B102" s="81"/>
      <c r="C102" s="66">
        <f>IF(C95&lt;&gt;"Dim",IF(C100&gt;35,(MIN(C100,43)-35),0),0)</f>
        <v>0</v>
      </c>
      <c r="D102" s="66">
        <f>IF(D95&lt;&gt;"Dim",IF(SUM($C100:D100)&gt;35,(MIN(SUM($C100:D100),43)-35-SUM($C102:C102)),0),0)</f>
        <v>0</v>
      </c>
      <c r="E102" s="66">
        <f>IF(E95&lt;&gt;"Dim",IF(SUM($C100:E100)&gt;35,(MIN(SUM($C100:E100),43)-35-SUM($C102:D102)),0),0)</f>
        <v>0</v>
      </c>
      <c r="F102" s="66">
        <f>IF(F95&lt;&gt;"Dim",IF(SUM($C100:F100)&gt;35,(MIN(SUM($C100:F100),43)-35-SUM($C102:E102)),0),0)</f>
        <v>0</v>
      </c>
      <c r="G102" s="66">
        <f>IF(G95&lt;&gt;"Dim",IF(SUM($C100:G100)&gt;35,(MIN(SUM($C100:G100),43)-35-SUM($C102:F102)),0),0)</f>
        <v>0</v>
      </c>
      <c r="H102" s="66">
        <f>IF(H95&lt;&gt;"Dim",IF(SUM($C100:H100)&gt;35,(MIN(SUM($C100:H100),43)-35-SUM($C102:G102)),0),0)</f>
        <v>0</v>
      </c>
      <c r="I102" s="66">
        <f>IF(I95&lt;&gt;"Dim",IF(SUM($C100:I100)&gt;35,(MIN(SUM($C100:I100),43)-35-SUM($C102:H102)),0),0)</f>
        <v>0</v>
      </c>
      <c r="J102" s="60">
        <f t="shared" si="239"/>
        <v>0</v>
      </c>
      <c r="K102" s="60"/>
      <c r="L102" s="66">
        <f>IF(L95&lt;&gt;"Dim",IF(L100&gt;35,(MIN(L100,43)-35),0),0)</f>
        <v>0</v>
      </c>
      <c r="M102" s="66">
        <f>IF(M95&lt;&gt;"Dim",IF(SUM($L100:M100)&gt;35,(MIN(SUM($L100:M100),43)-35-SUM($L102:L102)),0),0)</f>
        <v>0</v>
      </c>
      <c r="N102" s="66">
        <f>IF(N95&lt;&gt;"Dim",IF(SUM($L100:N100)&gt;35,(MIN(SUM($L100:N100),43)-35-SUM($L102:M102)),0),0)</f>
        <v>0</v>
      </c>
      <c r="O102" s="66">
        <f>IF(O95&lt;&gt;"Dim",IF(SUM($L100:O100)&gt;35,(MIN(SUM($L100:O100),43)-35-SUM($L102:N102)),0),0)</f>
        <v>0</v>
      </c>
      <c r="P102" s="66">
        <f>IF(P95&lt;&gt;"Dim",IF(SUM($L100:P100)&gt;35,(MIN(SUM($L100:P100),43)-35-SUM($L102:O102)),0),0)</f>
        <v>0</v>
      </c>
      <c r="Q102" s="66">
        <f>IF(Q95&lt;&gt;"Dim",IF(SUM($L100:Q100)&gt;35,(MIN(SUM($L100:Q100),43)-35-SUM($L102:P102)),0),0)</f>
        <v>0</v>
      </c>
      <c r="R102" s="66">
        <f>IF(R95&lt;&gt;"Dim",IF(SUM($L100:R100)&gt;35,(MIN(SUM($L100:R100),43)-35-SUM($L102:Q102)),0),0)</f>
        <v>0</v>
      </c>
      <c r="S102" s="60">
        <f t="shared" si="241"/>
        <v>0</v>
      </c>
      <c r="T102" s="60"/>
      <c r="U102" s="66">
        <f>IF(U95&lt;&gt;"Dim",IF(U100&gt;35,(MIN(U100,43)-35),0),0)</f>
        <v>0</v>
      </c>
      <c r="V102" s="66">
        <f>IF(V95&lt;&gt;"Dim",IF(SUM($U100:V100)&gt;35,(MIN(SUM($U100:V100),43)-35-SUM($U102:U102)),0),0)</f>
        <v>0</v>
      </c>
      <c r="W102" s="66">
        <f>IF(W95&lt;&gt;"Dim",IF(SUM($U100:W100)&gt;35,(MIN(SUM($U100:W100),43)-35-SUM($U102:V102)),0),0)</f>
        <v>0</v>
      </c>
      <c r="X102" s="66">
        <f>IF(X95&lt;&gt;"Dim",IF(SUM($U100:X100)&gt;35,(MIN(SUM($U100:X100),43)-35-SUM($U102:W102)),0),0)</f>
        <v>0</v>
      </c>
      <c r="Y102" s="66">
        <f>IF(Y95&lt;&gt;"Dim",IF(SUM($U100:Y100)&gt;35,(MIN(SUM($U100:Y100),43)-35-SUM($U102:X102)),0),0)</f>
        <v>0</v>
      </c>
      <c r="Z102" s="66">
        <f>IF(Z95&lt;&gt;"Dim",IF(SUM($U100:Z100)&gt;35,(MIN(SUM($U100:Z100),43)-35-SUM($U102:Y102)),0),0)</f>
        <v>0</v>
      </c>
      <c r="AA102" s="66">
        <f>IF(AA95&lt;&gt;"Dim",IF(SUM($U100:AA100)&gt;35,(MIN(SUM($U100:AA100),43)-35-SUM($U102:Z102)),0),0)</f>
        <v>0</v>
      </c>
      <c r="AB102" s="60">
        <f t="shared" si="243"/>
        <v>0</v>
      </c>
      <c r="AC102" s="60"/>
      <c r="AD102" s="66">
        <f>IF(AD95&lt;&gt;"Dim",IF(AD100&gt;35,(MIN(AD100,43)-35),0),0)</f>
        <v>0</v>
      </c>
      <c r="AE102" s="66">
        <f>IF(AE95&lt;&gt;"Dim",IF(SUM($AD100:AE100)&gt;35,(MIN(SUM($AD100:AE100),43)-35-SUM($AD102:AD102)),0),0)</f>
        <v>0</v>
      </c>
      <c r="AF102" s="66">
        <f>IF(AF95&lt;&gt;"Dim",IF(SUM($AD100:AF100)&gt;35,(MIN(SUM($AD100:AF100),43)-35-SUM($AD102:AE102)),0),0)</f>
        <v>0</v>
      </c>
      <c r="AG102" s="66">
        <f>IF(AG95&lt;&gt;"Dim",IF(SUM($AD100:AG100)&gt;35,(MIN(SUM($AD100:AG100),43)-35-SUM($AD102:AF102)),0),0)</f>
        <v>0</v>
      </c>
      <c r="AH102" s="66">
        <f>IF(AH95&lt;&gt;"Dim",IF(SUM($AD100:AH100)&gt;35,(MIN(SUM($AD100:AH100),43)-35-SUM($AD102:AG102)),0),0)</f>
        <v>0</v>
      </c>
      <c r="AI102" s="66">
        <f>IF(AI95&lt;&gt;"Dim",IF(SUM($AD100:AI100)&gt;35,(MIN(SUM($AD100:AI100),43)-35-SUM($AD102:AH102)),0),0)</f>
        <v>0</v>
      </c>
      <c r="AJ102" s="66">
        <f>IF(AJ95&lt;&gt;"Dim",IF(SUM($AD100:AJ100)&gt;35,(MIN(SUM($AD100:AJ100),43)-35-SUM($AD102:AI102)),0),0)</f>
        <v>0</v>
      </c>
      <c r="AK102" s="60">
        <f t="shared" si="245"/>
        <v>0</v>
      </c>
      <c r="AL102" s="60"/>
      <c r="AM102" s="66">
        <f>IF(AM95&lt;&gt;"Dim",IF(AM100&gt;35,(MIN(AM100,43)-35),0),0)</f>
        <v>0</v>
      </c>
      <c r="AN102" s="66">
        <f>IF(AN95&lt;&gt;"Dim",IF(SUM($AM100:AN100)&gt;35,(MIN(SUM($AM100:AN100),43)-35-SUM($AM102:AM102)),0),0)</f>
        <v>0</v>
      </c>
      <c r="AO102" s="66">
        <f>IF(AO95&lt;&gt;"Dim",IF(SUM($AM100:AO100)&gt;35,(MIN(SUM($AM100:AO100),43)-35-SUM($AM102:AN102)),0),0)</f>
        <v>0</v>
      </c>
      <c r="AP102" s="66">
        <f>IF(AP95&lt;&gt;"Dim",IF(SUM($AM100:AP100)&gt;35,(MIN(SUM($AM100:AP100),43)-35-SUM($AM102:AO102)),0),0)</f>
        <v>0</v>
      </c>
      <c r="AQ102" s="66">
        <f>IF(AQ95&lt;&gt;"Dim",IF(SUM($AM100:AQ100)&gt;35,(MIN(SUM($AM100:AQ100),43)-35-SUM($AM102:AP102)),0),0)</f>
        <v>0</v>
      </c>
      <c r="AR102" s="66">
        <f>IF(AR95&lt;&gt;"Dim",IF(SUM($AM100:AR100)&gt;35,(MIN(SUM($AM100:AR100),43)-35-SUM($AM102:AQ102)),0),0)</f>
        <v>0</v>
      </c>
      <c r="AS102" s="66">
        <f>IF(AS95&lt;&gt;"Dim",IF(SUM($AM100:AS100)&gt;35,(MIN(SUM($AM100:AS100),43)-35-SUM($AM102:AR102)),0),0)</f>
        <v>0</v>
      </c>
      <c r="AT102" s="60">
        <f t="shared" si="247"/>
        <v>0</v>
      </c>
      <c r="AU102" s="60"/>
      <c r="AV102" s="66">
        <f>IF(AV95&lt;&gt;"Dim",IF(AV100&gt;35,(MIN(AV100,43)-35),0),0)</f>
        <v>0</v>
      </c>
      <c r="AW102" s="66">
        <f>IF(AW95&lt;&gt;"Dim",IF(SUM($AV100:AW100)&gt;35,(MIN(SUM($AV100:AW100),43)-35-SUM($AV102:AV102)),0),0)</f>
        <v>0</v>
      </c>
      <c r="AX102" s="60">
        <f t="shared" si="237"/>
        <v>0</v>
      </c>
      <c r="AY102" s="60">
        <f t="shared" si="249"/>
        <v>0</v>
      </c>
      <c r="AZ102" s="59"/>
      <c r="BA102" s="44"/>
      <c r="BB102" s="44"/>
      <c r="BC102" s="44"/>
      <c r="BD102" s="9"/>
      <c r="BE102" s="43"/>
      <c r="BF102" s="44"/>
    </row>
    <row r="103" spans="1:58" x14ac:dyDescent="0.25">
      <c r="A103" s="21" t="s">
        <v>5</v>
      </c>
      <c r="B103" s="81"/>
      <c r="C103" s="66">
        <f>IF(C95&lt;&gt;"Dim",IF(C100&gt;43,(MIN(C100,48)-43),0),0)</f>
        <v>0</v>
      </c>
      <c r="D103" s="66">
        <f>IF(D95&lt;&gt;"Dim",IF(SUM($C100:D100)&gt;43,(MIN(SUM($C100:D100),48)-43-SUM($C103:C103)),0),0)</f>
        <v>0</v>
      </c>
      <c r="E103" s="66">
        <f>IF(E95&lt;&gt;"Dim",IF(SUM($C100:E100)&gt;43,(MIN(SUM($C100:E100),48)-43-SUM($C103:D103)),0),0)</f>
        <v>0</v>
      </c>
      <c r="F103" s="66">
        <f>IF(F95&lt;&gt;"Dim",IF(SUM($C100:F100)&gt;43,(MIN(SUM($C100:F100),48)-43-SUM($C103:E103)),0),0)</f>
        <v>0</v>
      </c>
      <c r="G103" s="66">
        <f>IF(G95&lt;&gt;"Dim",IF(SUM($C100:G100)&gt;43,(MIN(SUM($C100:G100),48)-43-SUM($C103:F103)),0),0)</f>
        <v>0</v>
      </c>
      <c r="H103" s="66">
        <f>IF(H95&lt;&gt;"Dim",IF(SUM($C100:H100)&gt;43,(MIN(SUM($C100:H100),48)-43-SUM($C103:G103)),0),0)</f>
        <v>0</v>
      </c>
      <c r="I103" s="66">
        <f>IF(I95&lt;&gt;"Dim",IF(SUM($C100:I100)&gt;43,(MIN(SUM($C100:I100),48)-43-SUM($C103:H103)),0),0)</f>
        <v>0</v>
      </c>
      <c r="J103" s="60">
        <f t="shared" si="239"/>
        <v>0</v>
      </c>
      <c r="K103" s="60"/>
      <c r="L103" s="66">
        <f>IF(L95&lt;&gt;"Dim",IF(L100&gt;43,(MIN(L100,48)-43),0),0)</f>
        <v>0</v>
      </c>
      <c r="M103" s="66">
        <f>IF(M95&lt;&gt;"Dim",IF(SUM($L100:M100)&gt;43,(MIN(SUM($L100:M100),48)-43-SUM($L103:L103)),0),0)</f>
        <v>0</v>
      </c>
      <c r="N103" s="66">
        <f>IF(N95&lt;&gt;"Dim",IF(SUM($L100:N100)&gt;43,(MIN(SUM($L100:N100),48)-43-SUM($L103:M103)),0),0)</f>
        <v>0</v>
      </c>
      <c r="O103" s="66">
        <f>IF(O95&lt;&gt;"Dim",IF(SUM($L100:O100)&gt;43,(MIN(SUM($L100:O100),48)-43-SUM($L103:N103)),0),0)</f>
        <v>0</v>
      </c>
      <c r="P103" s="66">
        <f>IF(P95&lt;&gt;"Dim",IF(SUM($L100:P100)&gt;43,(MIN(SUM($L100:P100),48)-43-SUM($L103:O103)),0),0)</f>
        <v>0</v>
      </c>
      <c r="Q103" s="66">
        <f>IF(Q95&lt;&gt;"Dim",IF(SUM($L100:Q100)&gt;43,(MIN(SUM($L100:Q100),48)-43-SUM($L103:P103)),0),0)</f>
        <v>0</v>
      </c>
      <c r="R103" s="66">
        <f>IF(R95&lt;&gt;"Dim",IF(SUM($L100:R100)&gt;43,(MIN(SUM($L100:R100),48)-43-SUM($L103:Q103)),0),0)</f>
        <v>0</v>
      </c>
      <c r="S103" s="60">
        <f t="shared" si="241"/>
        <v>0</v>
      </c>
      <c r="T103" s="60"/>
      <c r="U103" s="66">
        <f>IF(U95&lt;&gt;"Dim",IF(U100&gt;43,(MIN(U100,48)-43),0),0)</f>
        <v>0</v>
      </c>
      <c r="V103" s="66">
        <f>IF(V95&lt;&gt;"Dim",IF(SUM($U100:V100)&gt;43,(MIN(SUM($U100:V100),48)-43-SUM($U103:U103)),0),0)</f>
        <v>0</v>
      </c>
      <c r="W103" s="66">
        <f>IF(W95&lt;&gt;"Dim",IF(SUM($U100:W100)&gt;43,(MIN(SUM($U100:W100),48)-43-SUM($U103:V103)),0),0)</f>
        <v>0</v>
      </c>
      <c r="X103" s="66">
        <f>IF(X95&lt;&gt;"Dim",IF(SUM($U100:X100)&gt;43,(MIN(SUM($U100:X100),48)-43-SUM($U103:W103)),0),0)</f>
        <v>0</v>
      </c>
      <c r="Y103" s="66">
        <f>IF(Y95&lt;&gt;"Dim",IF(SUM($U100:Y100)&gt;43,(MIN(SUM($U100:Y100),48)-43-SUM($U103:X103)),0),0)</f>
        <v>0</v>
      </c>
      <c r="Z103" s="66">
        <f>IF(Z95&lt;&gt;"Dim",IF(SUM($U100:Z100)&gt;43,(MIN(SUM($U100:Z100),48)-43-SUM($U103:Y103)),0),0)</f>
        <v>0</v>
      </c>
      <c r="AA103" s="66">
        <f>IF(AA95&lt;&gt;"Dim",IF(SUM($U100:AA100)&gt;43,(MIN(SUM($U100:AA100),48)-43-SUM($U103:Z103)),0),0)</f>
        <v>0</v>
      </c>
      <c r="AB103" s="60">
        <f t="shared" si="243"/>
        <v>0</v>
      </c>
      <c r="AC103" s="60"/>
      <c r="AD103" s="66">
        <f>IF(AD95&lt;&gt;"Dim",IF(AD100&gt;43,(MIN(AD100,48)-43),0),0)</f>
        <v>0</v>
      </c>
      <c r="AE103" s="66">
        <f>IF(AE95&lt;&gt;"Dim",IF(SUM($AD100:AE100)&gt;43,(MIN(SUM($AD100:AE100),48)-43-SUM($AD103:AD103)),0),0)</f>
        <v>0</v>
      </c>
      <c r="AF103" s="66">
        <f>IF(AF95&lt;&gt;"Dim",IF(SUM($AD100:AF100)&gt;43,(MIN(SUM($AD100:AF100),48)-43-SUM($AD103:AE103)),0),0)</f>
        <v>0</v>
      </c>
      <c r="AG103" s="66">
        <f>IF(AG95&lt;&gt;"Dim",IF(SUM($AD100:AG100)&gt;43,(MIN(SUM($AD100:AG100),48)-43-SUM($AD103:AF103)),0),0)</f>
        <v>0</v>
      </c>
      <c r="AH103" s="66">
        <f>IF(AH95&lt;&gt;"Dim",IF(SUM($AD100:AH100)&gt;43,(MIN(SUM($AD100:AH100),48)-43-SUM($AD103:AG103)),0),0)</f>
        <v>0</v>
      </c>
      <c r="AI103" s="66">
        <f>IF(AI95&lt;&gt;"Dim",IF(SUM($AD100:AI100)&gt;43,(MIN(SUM($AD100:AI100),48)-43-SUM($AD103:AH103)),0),0)</f>
        <v>0</v>
      </c>
      <c r="AJ103" s="66">
        <f>IF(AJ95&lt;&gt;"Dim",IF(SUM($AD100:AJ100)&gt;43,(MIN(SUM($AD100:AJ100),48)-43-SUM($AD103:AI103)),0),0)</f>
        <v>0</v>
      </c>
      <c r="AK103" s="60">
        <f t="shared" si="245"/>
        <v>0</v>
      </c>
      <c r="AL103" s="60"/>
      <c r="AM103" s="66">
        <f>IF(AM95&lt;&gt;"Dim",IF(AM100&gt;43,(MIN(AM100,48)-43),0),0)</f>
        <v>0</v>
      </c>
      <c r="AN103" s="66">
        <f>IF(AN95&lt;&gt;"Dim",IF(SUM($AM100:AN100)&gt;43,(MIN(SUM($AM100:AN100),48)-43-SUM($AM103:AM103)),0),0)</f>
        <v>0</v>
      </c>
      <c r="AO103" s="66">
        <f>IF(AO95&lt;&gt;"Dim",IF(SUM($AM100:AO100)&gt;43,(MIN(SUM($AM100:AO100),48)-43-SUM($AM103:AN103)),0),0)</f>
        <v>0</v>
      </c>
      <c r="AP103" s="66">
        <f>IF(AP95&lt;&gt;"Dim",IF(SUM($AM100:AP100)&gt;43,(MIN(SUM($AM100:AP100),48)-43-SUM($AM103:AO103)),0),0)</f>
        <v>0</v>
      </c>
      <c r="AQ103" s="66">
        <f>IF(AQ95&lt;&gt;"Dim",IF(SUM($AM100:AQ100)&gt;43,(MIN(SUM($AM100:AQ100),48)-43-SUM($AM103:AP103)),0),0)</f>
        <v>0</v>
      </c>
      <c r="AR103" s="66">
        <f>IF(AR95&lt;&gt;"Dim",IF(SUM($AM100:AR100)&gt;43,(MIN(SUM($AM100:AR100),48)-43-SUM($AM103:AQ103)),0),0)</f>
        <v>0</v>
      </c>
      <c r="AS103" s="66">
        <f>IF(AS95&lt;&gt;"Dim",IF(SUM($AM100:AS100)&gt;43,(MIN(SUM($AM100:AS100),48)-43-SUM($AM103:AR103)),0),0)</f>
        <v>0</v>
      </c>
      <c r="AT103" s="60">
        <f t="shared" si="247"/>
        <v>0</v>
      </c>
      <c r="AU103" s="60"/>
      <c r="AV103" s="66">
        <f>IF(AV95&lt;&gt;"Dim",IF(AV100&gt;43,(MIN(AV100,48)-43),0),0)</f>
        <v>0</v>
      </c>
      <c r="AW103" s="66">
        <f>IF(AW95&lt;&gt;"Dim",IF(SUM($AV100:AW100)&gt;43,(MIN(SUM($AV100:AW100),48)-43-SUM($AV103:AV103)),0),0)</f>
        <v>0</v>
      </c>
      <c r="AX103" s="60">
        <f t="shared" si="237"/>
        <v>0</v>
      </c>
      <c r="AY103" s="60">
        <f t="shared" si="249"/>
        <v>0</v>
      </c>
      <c r="AZ103" s="59"/>
      <c r="BA103" s="44"/>
      <c r="BB103" s="44"/>
      <c r="BC103" s="44"/>
      <c r="BD103" s="9"/>
      <c r="BE103" s="43"/>
      <c r="BF103" s="44"/>
    </row>
    <row r="104" spans="1:58" ht="15" customHeight="1" x14ac:dyDescent="0.25">
      <c r="A104" s="21" t="s">
        <v>7</v>
      </c>
      <c r="B104" s="81"/>
      <c r="C104" s="66">
        <f>IF(C95="Dim",C100,IF(C110="ferie",C100,0))</f>
        <v>0</v>
      </c>
      <c r="D104" s="66">
        <f t="shared" ref="D104:I104" si="256">IF(D95="Dim",D100,IF(D110="ferie",D100,0))</f>
        <v>0</v>
      </c>
      <c r="E104" s="66">
        <f t="shared" si="256"/>
        <v>0</v>
      </c>
      <c r="F104" s="66">
        <f t="shared" si="256"/>
        <v>0</v>
      </c>
      <c r="G104" s="66">
        <f t="shared" si="256"/>
        <v>0</v>
      </c>
      <c r="H104" s="66">
        <f t="shared" si="256"/>
        <v>0</v>
      </c>
      <c r="I104" s="66">
        <f t="shared" si="256"/>
        <v>0</v>
      </c>
      <c r="J104" s="60">
        <f t="shared" si="239"/>
        <v>0</v>
      </c>
      <c r="K104" s="60"/>
      <c r="L104" s="66">
        <f>IF(L95="Dim",L100,IF(L110="ferie",L100,0))</f>
        <v>0</v>
      </c>
      <c r="M104" s="66">
        <f t="shared" ref="M104:R104" si="257">IF(M95="Dim",M100,IF(M110="ferie",M100,0))</f>
        <v>0</v>
      </c>
      <c r="N104" s="66">
        <f t="shared" si="257"/>
        <v>0</v>
      </c>
      <c r="O104" s="66">
        <f t="shared" si="257"/>
        <v>0</v>
      </c>
      <c r="P104" s="66">
        <f t="shared" si="257"/>
        <v>0</v>
      </c>
      <c r="Q104" s="66">
        <f>IF(Q95="Dim",Q100,IF(Q110="ferie",Q100,0))</f>
        <v>0</v>
      </c>
      <c r="R104" s="66">
        <f t="shared" si="257"/>
        <v>0</v>
      </c>
      <c r="S104" s="60">
        <f t="shared" si="241"/>
        <v>0</v>
      </c>
      <c r="T104" s="60"/>
      <c r="U104" s="66">
        <f>IF(U95="Dim",U100,IF(U110="ferie",U100,0))</f>
        <v>0</v>
      </c>
      <c r="V104" s="66">
        <f t="shared" ref="V104:AA104" si="258">IF(V95="Dim",V100,IF(V110="ferie",V100,0))</f>
        <v>0</v>
      </c>
      <c r="W104" s="66">
        <f t="shared" si="258"/>
        <v>0</v>
      </c>
      <c r="X104" s="66">
        <f t="shared" si="258"/>
        <v>0</v>
      </c>
      <c r="Y104" s="66">
        <f t="shared" si="258"/>
        <v>0</v>
      </c>
      <c r="Z104" s="66">
        <f t="shared" si="258"/>
        <v>0</v>
      </c>
      <c r="AA104" s="66">
        <f t="shared" si="258"/>
        <v>0</v>
      </c>
      <c r="AB104" s="60">
        <f t="shared" ref="AB104" si="259">SUM(U104:AA104)</f>
        <v>0</v>
      </c>
      <c r="AC104" s="60"/>
      <c r="AD104" s="66">
        <f>IF(AD95="Dim",AD100,IF(AD110="ferie",AD100,0))</f>
        <v>0</v>
      </c>
      <c r="AE104" s="66">
        <f t="shared" ref="AE104:AJ104" si="260">IF(AE95="Dim",AE100,IF(AE110="ferie",AE100,0))</f>
        <v>0</v>
      </c>
      <c r="AF104" s="66">
        <f t="shared" si="260"/>
        <v>0</v>
      </c>
      <c r="AG104" s="66">
        <f t="shared" si="260"/>
        <v>0</v>
      </c>
      <c r="AH104" s="66">
        <f t="shared" si="260"/>
        <v>0</v>
      </c>
      <c r="AI104" s="66">
        <f t="shared" si="260"/>
        <v>0</v>
      </c>
      <c r="AJ104" s="66">
        <f t="shared" si="260"/>
        <v>0</v>
      </c>
      <c r="AK104" s="60">
        <f t="shared" si="245"/>
        <v>0</v>
      </c>
      <c r="AL104" s="60"/>
      <c r="AM104" s="66">
        <f>IF(AM95="Dim",AM100,IF(AM110="ferie",AM100,0))</f>
        <v>0</v>
      </c>
      <c r="AN104" s="66">
        <f t="shared" ref="AN104:AW104" si="261">IF(AN95="Dim",AN100,IF(AN110="ferie",AN100,0))</f>
        <v>0</v>
      </c>
      <c r="AO104" s="66">
        <f t="shared" si="261"/>
        <v>0</v>
      </c>
      <c r="AP104" s="66">
        <f t="shared" si="261"/>
        <v>0</v>
      </c>
      <c r="AQ104" s="66">
        <f t="shared" si="261"/>
        <v>0</v>
      </c>
      <c r="AR104" s="66">
        <f t="shared" si="261"/>
        <v>0</v>
      </c>
      <c r="AS104" s="66">
        <f t="shared" si="261"/>
        <v>0</v>
      </c>
      <c r="AT104" s="60">
        <f>SUM(AM104:AS104)</f>
        <v>0</v>
      </c>
      <c r="AU104" s="60"/>
      <c r="AV104" s="66">
        <f>IF(AV95="Dim",AV100,IF(AV110="ferie",AV100,0))</f>
        <v>0</v>
      </c>
      <c r="AW104" s="66">
        <f t="shared" si="261"/>
        <v>0</v>
      </c>
      <c r="AX104" s="60">
        <f t="shared" si="237"/>
        <v>0</v>
      </c>
      <c r="AY104" s="60">
        <f t="shared" si="249"/>
        <v>0</v>
      </c>
      <c r="AZ104" s="59"/>
    </row>
    <row r="105" spans="1:58" ht="15" customHeight="1" x14ac:dyDescent="0.25">
      <c r="A105" s="21" t="s">
        <v>8</v>
      </c>
      <c r="B105" s="81"/>
      <c r="C105" s="31"/>
      <c r="D105" s="31"/>
      <c r="E105" s="31"/>
      <c r="F105" s="31"/>
      <c r="G105" s="31"/>
      <c r="H105" s="31"/>
      <c r="I105" s="31"/>
      <c r="J105" s="60">
        <f t="shared" si="239"/>
        <v>0</v>
      </c>
      <c r="K105" s="60"/>
      <c r="L105" s="31"/>
      <c r="M105" s="31"/>
      <c r="N105" s="31"/>
      <c r="O105" s="31"/>
      <c r="P105" s="31"/>
      <c r="Q105" s="31"/>
      <c r="R105" s="31"/>
      <c r="S105" s="60">
        <f t="shared" si="241"/>
        <v>0</v>
      </c>
      <c r="T105" s="60"/>
      <c r="U105" s="31"/>
      <c r="V105" s="31"/>
      <c r="W105" s="31"/>
      <c r="X105" s="31"/>
      <c r="Y105" s="31"/>
      <c r="Z105" s="31"/>
      <c r="AA105" s="31"/>
      <c r="AB105" s="60">
        <f t="shared" si="243"/>
        <v>0</v>
      </c>
      <c r="AC105" s="60"/>
      <c r="AD105" s="31"/>
      <c r="AE105" s="31"/>
      <c r="AF105" s="31"/>
      <c r="AG105" s="31"/>
      <c r="AH105" s="31"/>
      <c r="AI105" s="31"/>
      <c r="AJ105" s="31"/>
      <c r="AK105" s="60">
        <f t="shared" si="245"/>
        <v>0</v>
      </c>
      <c r="AL105" s="60"/>
      <c r="AM105" s="31"/>
      <c r="AN105" s="31"/>
      <c r="AO105" s="31"/>
      <c r="AP105" s="31"/>
      <c r="AQ105" s="31"/>
      <c r="AR105" s="31"/>
      <c r="AS105" s="31"/>
      <c r="AT105" s="60">
        <f t="shared" si="247"/>
        <v>0</v>
      </c>
      <c r="AU105" s="60"/>
      <c r="AV105" s="31"/>
      <c r="AW105" s="31"/>
      <c r="AX105" s="60">
        <f t="shared" si="237"/>
        <v>0</v>
      </c>
      <c r="AY105" s="60">
        <f t="shared" si="249"/>
        <v>0</v>
      </c>
      <c r="AZ105" s="59"/>
    </row>
    <row r="106" spans="1:58" ht="15" customHeight="1" x14ac:dyDescent="0.25">
      <c r="A106" s="36" t="s">
        <v>9</v>
      </c>
      <c r="B106" s="82"/>
      <c r="C106" s="31"/>
      <c r="D106" s="31"/>
      <c r="E106" s="31"/>
      <c r="F106" s="31"/>
      <c r="G106" s="31"/>
      <c r="H106" s="31"/>
      <c r="I106" s="31"/>
      <c r="J106" s="60">
        <f t="shared" si="239"/>
        <v>0</v>
      </c>
      <c r="K106" s="60"/>
      <c r="L106" s="31"/>
      <c r="M106" s="31"/>
      <c r="N106" s="31"/>
      <c r="O106" s="31"/>
      <c r="P106" s="31"/>
      <c r="Q106" s="31"/>
      <c r="R106" s="31"/>
      <c r="S106" s="60">
        <f t="shared" si="241"/>
        <v>0</v>
      </c>
      <c r="T106" s="60"/>
      <c r="U106" s="31"/>
      <c r="V106" s="31"/>
      <c r="W106" s="31"/>
      <c r="X106" s="31"/>
      <c r="Y106" s="31"/>
      <c r="Z106" s="31"/>
      <c r="AA106" s="31"/>
      <c r="AB106" s="60">
        <f t="shared" si="243"/>
        <v>0</v>
      </c>
      <c r="AC106" s="60"/>
      <c r="AD106" s="31"/>
      <c r="AE106" s="31"/>
      <c r="AF106" s="31"/>
      <c r="AG106" s="31"/>
      <c r="AH106" s="31"/>
      <c r="AI106" s="31"/>
      <c r="AJ106" s="31"/>
      <c r="AK106" s="60">
        <f t="shared" si="245"/>
        <v>0</v>
      </c>
      <c r="AL106" s="60"/>
      <c r="AM106" s="31"/>
      <c r="AN106" s="31"/>
      <c r="AO106" s="31"/>
      <c r="AP106" s="31"/>
      <c r="AQ106" s="31"/>
      <c r="AR106" s="31"/>
      <c r="AS106" s="31"/>
      <c r="AT106" s="60">
        <f t="shared" si="247"/>
        <v>0</v>
      </c>
      <c r="AU106" s="60"/>
      <c r="AV106" s="31"/>
      <c r="AW106" s="31"/>
      <c r="AX106" s="60">
        <f t="shared" ref="AX106:AX108" si="262">SUM(AV106:AW106)</f>
        <v>0</v>
      </c>
      <c r="AY106" s="60">
        <f t="shared" si="249"/>
        <v>0</v>
      </c>
      <c r="AZ106" s="59"/>
    </row>
    <row r="107" spans="1:58" ht="15" customHeight="1" x14ac:dyDescent="0.25">
      <c r="A107" s="21" t="s">
        <v>11</v>
      </c>
      <c r="B107" s="81"/>
      <c r="C107" s="31"/>
      <c r="D107" s="31"/>
      <c r="E107" s="31"/>
      <c r="F107" s="31"/>
      <c r="G107" s="31"/>
      <c r="H107" s="31"/>
      <c r="I107" s="31"/>
      <c r="J107" s="60">
        <f t="shared" si="239"/>
        <v>0</v>
      </c>
      <c r="K107" s="60"/>
      <c r="L107" s="31"/>
      <c r="M107" s="31"/>
      <c r="N107" s="31"/>
      <c r="O107" s="31"/>
      <c r="P107" s="31"/>
      <c r="Q107" s="31"/>
      <c r="R107" s="31"/>
      <c r="S107" s="60">
        <f t="shared" si="241"/>
        <v>0</v>
      </c>
      <c r="T107" s="60"/>
      <c r="U107" s="31"/>
      <c r="V107" s="31"/>
      <c r="W107" s="31"/>
      <c r="X107" s="31"/>
      <c r="Y107" s="31"/>
      <c r="Z107" s="31"/>
      <c r="AA107" s="31"/>
      <c r="AB107" s="60">
        <f t="shared" si="243"/>
        <v>0</v>
      </c>
      <c r="AC107" s="60"/>
      <c r="AD107" s="31"/>
      <c r="AE107" s="31"/>
      <c r="AF107" s="31"/>
      <c r="AG107" s="31"/>
      <c r="AH107" s="31"/>
      <c r="AI107" s="31"/>
      <c r="AJ107" s="31"/>
      <c r="AK107" s="60">
        <f t="shared" si="245"/>
        <v>0</v>
      </c>
      <c r="AL107" s="60"/>
      <c r="AM107" s="31"/>
      <c r="AN107" s="31"/>
      <c r="AO107" s="31"/>
      <c r="AP107" s="31"/>
      <c r="AQ107" s="31"/>
      <c r="AR107" s="31"/>
      <c r="AS107" s="31"/>
      <c r="AT107" s="60">
        <f t="shared" si="247"/>
        <v>0</v>
      </c>
      <c r="AU107" s="60"/>
      <c r="AV107" s="31"/>
      <c r="AW107" s="31"/>
      <c r="AX107" s="60">
        <f t="shared" si="262"/>
        <v>0</v>
      </c>
      <c r="AY107" s="60">
        <f t="shared" si="249"/>
        <v>0</v>
      </c>
      <c r="AZ107" s="59"/>
    </row>
    <row r="108" spans="1:58" ht="15" customHeight="1" x14ac:dyDescent="0.25">
      <c r="A108" s="36" t="s">
        <v>10</v>
      </c>
      <c r="B108" s="82"/>
      <c r="C108" s="31"/>
      <c r="D108" s="31"/>
      <c r="E108" s="31"/>
      <c r="F108" s="31"/>
      <c r="G108" s="31"/>
      <c r="H108" s="31"/>
      <c r="I108" s="31"/>
      <c r="J108" s="60">
        <f t="shared" si="239"/>
        <v>0</v>
      </c>
      <c r="K108" s="60"/>
      <c r="L108" s="31"/>
      <c r="M108" s="31"/>
      <c r="N108" s="31"/>
      <c r="O108" s="31"/>
      <c r="P108" s="31"/>
      <c r="Q108" s="31"/>
      <c r="R108" s="31"/>
      <c r="S108" s="60">
        <f t="shared" si="241"/>
        <v>0</v>
      </c>
      <c r="T108" s="60"/>
      <c r="U108" s="31"/>
      <c r="V108" s="31"/>
      <c r="W108" s="31"/>
      <c r="X108" s="31"/>
      <c r="Y108" s="31"/>
      <c r="Z108" s="31"/>
      <c r="AA108" s="31"/>
      <c r="AB108" s="60">
        <f t="shared" si="243"/>
        <v>0</v>
      </c>
      <c r="AC108" s="60"/>
      <c r="AD108" s="31"/>
      <c r="AE108" s="31"/>
      <c r="AF108" s="31"/>
      <c r="AG108" s="31"/>
      <c r="AH108" s="31"/>
      <c r="AI108" s="31"/>
      <c r="AJ108" s="31"/>
      <c r="AK108" s="60">
        <f t="shared" si="245"/>
        <v>0</v>
      </c>
      <c r="AL108" s="60"/>
      <c r="AM108" s="31"/>
      <c r="AN108" s="31"/>
      <c r="AO108" s="31"/>
      <c r="AP108" s="31"/>
      <c r="AQ108" s="31"/>
      <c r="AR108" s="31"/>
      <c r="AS108" s="31"/>
      <c r="AT108" s="60">
        <f t="shared" si="247"/>
        <v>0</v>
      </c>
      <c r="AU108" s="60"/>
      <c r="AV108" s="31"/>
      <c r="AW108" s="31"/>
      <c r="AX108" s="60">
        <f t="shared" si="262"/>
        <v>0</v>
      </c>
      <c r="AY108" s="60">
        <f t="shared" si="249"/>
        <v>0</v>
      </c>
      <c r="AZ108" s="59"/>
    </row>
    <row r="109" spans="1:58" s="33" customFormat="1" ht="15" customHeight="1" x14ac:dyDescent="0.25">
      <c r="A109" s="36" t="s">
        <v>44</v>
      </c>
      <c r="B109" s="82"/>
      <c r="C109" s="60">
        <f>IF(C97="nuit",C100*0.02,0)</f>
        <v>0</v>
      </c>
      <c r="D109" s="60">
        <f>IF(D97="nuit",D100*0.02,0)</f>
        <v>0</v>
      </c>
      <c r="E109" s="60">
        <f t="shared" ref="E109:I109" si="263">IF(E97="nuit",E100*0.02,0)</f>
        <v>0</v>
      </c>
      <c r="F109" s="60">
        <f t="shared" si="263"/>
        <v>0</v>
      </c>
      <c r="G109" s="60">
        <f>IF(G97="nuit",G100*0.02,0)</f>
        <v>0</v>
      </c>
      <c r="H109" s="60">
        <f t="shared" si="263"/>
        <v>0</v>
      </c>
      <c r="I109" s="60">
        <f t="shared" si="263"/>
        <v>0</v>
      </c>
      <c r="J109" s="60">
        <f t="shared" si="239"/>
        <v>0</v>
      </c>
      <c r="K109" s="60"/>
      <c r="L109" s="60">
        <f>IF(L97="nuit",L100*0.02,0)</f>
        <v>0</v>
      </c>
      <c r="M109" s="60">
        <f>IF(M97="nuit",M100*0.02,0)</f>
        <v>0</v>
      </c>
      <c r="N109" s="60">
        <f t="shared" ref="N109:R109" si="264">IF(N97="nuit",N100*0.02,0)</f>
        <v>0</v>
      </c>
      <c r="O109" s="60">
        <f t="shared" si="264"/>
        <v>0</v>
      </c>
      <c r="P109" s="60">
        <f>IF(P97="nuit",P100*0.02,0)</f>
        <v>0</v>
      </c>
      <c r="Q109" s="60">
        <f t="shared" si="264"/>
        <v>0</v>
      </c>
      <c r="R109" s="60">
        <f t="shared" si="264"/>
        <v>0</v>
      </c>
      <c r="S109" s="60">
        <f t="shared" si="241"/>
        <v>0</v>
      </c>
      <c r="T109" s="60"/>
      <c r="U109" s="60">
        <f>IF(U97="nuit",U100*0.02,0)</f>
        <v>0</v>
      </c>
      <c r="V109" s="60">
        <f>IF(V97="nuit",V100*0.02,0)</f>
        <v>0</v>
      </c>
      <c r="W109" s="60">
        <f t="shared" ref="W109:AA109" si="265">IF(W97="nuit",W100*0.02,0)</f>
        <v>0</v>
      </c>
      <c r="X109" s="60">
        <f t="shared" si="265"/>
        <v>0</v>
      </c>
      <c r="Y109" s="60">
        <f>IF(Y97="nuit",Y100*0.02,0)</f>
        <v>0</v>
      </c>
      <c r="Z109" s="60">
        <f t="shared" si="265"/>
        <v>0</v>
      </c>
      <c r="AA109" s="60">
        <f t="shared" si="265"/>
        <v>0</v>
      </c>
      <c r="AB109" s="60">
        <f t="shared" si="243"/>
        <v>0</v>
      </c>
      <c r="AC109" s="60"/>
      <c r="AD109" s="60">
        <f>IF(AD97="nuit",AD100*0.02,0)</f>
        <v>0</v>
      </c>
      <c r="AE109" s="60">
        <f>IF(AE97="nuit",AE100*0.02,0)</f>
        <v>0</v>
      </c>
      <c r="AF109" s="60">
        <f t="shared" ref="AF109:AJ109" si="266">IF(AF97="nuit",AF100*0.02,0)</f>
        <v>0</v>
      </c>
      <c r="AG109" s="60">
        <f t="shared" si="266"/>
        <v>0</v>
      </c>
      <c r="AH109" s="60">
        <f>IF(AH97="nuit",AH100*0.02,0)</f>
        <v>0</v>
      </c>
      <c r="AI109" s="60">
        <f t="shared" si="266"/>
        <v>0</v>
      </c>
      <c r="AJ109" s="60">
        <f t="shared" si="266"/>
        <v>0</v>
      </c>
      <c r="AK109" s="60">
        <f t="shared" si="245"/>
        <v>0</v>
      </c>
      <c r="AL109" s="60"/>
      <c r="AM109" s="60">
        <f>IF(AM97="nuit",AM100*0.02,0)</f>
        <v>0</v>
      </c>
      <c r="AN109" s="60">
        <f>IF(AN97="nuit",AN100*0.02,0)</f>
        <v>0</v>
      </c>
      <c r="AO109" s="60">
        <f t="shared" ref="AO109:AS109" si="267">IF(AO97="nuit",AO100*0.02,0)</f>
        <v>0</v>
      </c>
      <c r="AP109" s="60">
        <f t="shared" si="267"/>
        <v>0</v>
      </c>
      <c r="AQ109" s="60">
        <f>IF(AQ97="nuit",AQ100*0.02,0)</f>
        <v>0</v>
      </c>
      <c r="AR109" s="60">
        <f t="shared" si="267"/>
        <v>0</v>
      </c>
      <c r="AS109" s="60">
        <f t="shared" si="267"/>
        <v>0</v>
      </c>
      <c r="AT109" s="60">
        <f t="shared" si="247"/>
        <v>0</v>
      </c>
      <c r="AU109" s="60"/>
      <c r="AV109" s="60">
        <f>IF(AV97="nuit",AV100*0.02,0)</f>
        <v>0</v>
      </c>
      <c r="AW109" s="60">
        <f>IF(AW97="nuit",AW100*0.02,0)</f>
        <v>0</v>
      </c>
      <c r="AX109" s="60">
        <f>SUM(AV109:AW109)</f>
        <v>0</v>
      </c>
      <c r="AY109" s="60">
        <f>J109+S109+AB109+AK109+AT109+AX109</f>
        <v>0</v>
      </c>
      <c r="AZ109" s="52"/>
      <c r="BA109" s="52"/>
      <c r="BB109" s="52"/>
      <c r="BC109" s="52"/>
      <c r="BD109" s="52"/>
      <c r="BE109" s="52"/>
      <c r="BF109" s="35"/>
    </row>
    <row r="110" spans="1:58" ht="15" customHeight="1" x14ac:dyDescent="0.25">
      <c r="A110" s="21" t="s">
        <v>31</v>
      </c>
      <c r="B110" s="81"/>
      <c r="C110" s="31"/>
      <c r="D110" s="31"/>
      <c r="E110" s="31"/>
      <c r="F110" s="31"/>
      <c r="G110" s="31"/>
      <c r="H110" s="37"/>
      <c r="I110" s="37"/>
      <c r="J110" s="64"/>
      <c r="K110" s="64"/>
      <c r="L110" s="37"/>
      <c r="M110" s="37"/>
      <c r="N110" s="37"/>
      <c r="O110" s="37"/>
      <c r="P110" s="37"/>
      <c r="Q110" s="37"/>
      <c r="R110" s="37"/>
      <c r="S110" s="64"/>
      <c r="T110" s="64"/>
      <c r="U110" s="37"/>
      <c r="V110" s="37"/>
      <c r="W110" s="37"/>
      <c r="X110" s="37"/>
      <c r="Y110" s="37"/>
      <c r="Z110" s="37"/>
      <c r="AA110" s="37"/>
      <c r="AB110" s="64"/>
      <c r="AC110" s="64"/>
      <c r="AD110" s="37"/>
      <c r="AE110" s="37"/>
      <c r="AF110" s="37"/>
      <c r="AG110" s="37"/>
      <c r="AH110" s="37"/>
      <c r="AI110" s="37"/>
      <c r="AJ110" s="37"/>
      <c r="AK110" s="64"/>
      <c r="AL110" s="64"/>
      <c r="AM110" s="37"/>
      <c r="AN110" s="37"/>
      <c r="AO110" s="37"/>
      <c r="AP110" s="37"/>
      <c r="AQ110" s="37"/>
      <c r="AR110" s="37"/>
      <c r="AS110" s="37"/>
      <c r="AT110" s="64"/>
      <c r="AU110" s="64"/>
      <c r="AV110" s="37"/>
      <c r="AW110" s="37"/>
      <c r="AX110" s="64"/>
      <c r="AY110" s="65"/>
    </row>
    <row r="111" spans="1:58" ht="15" customHeight="1" x14ac:dyDescent="0.25">
      <c r="A111" s="38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69"/>
    </row>
    <row r="112" spans="1:58" ht="27.6" x14ac:dyDescent="0.25">
      <c r="A112" s="21"/>
      <c r="B112" s="21"/>
      <c r="C112" s="24" t="s">
        <v>25</v>
      </c>
      <c r="D112" s="24"/>
      <c r="E112" s="24"/>
      <c r="F112" s="24"/>
      <c r="G112" s="24"/>
      <c r="H112" s="95">
        <f>Année_Calendaire</f>
        <v>2016</v>
      </c>
      <c r="I112" s="95"/>
      <c r="J112" s="49"/>
      <c r="K112" s="79"/>
      <c r="L112" s="31"/>
      <c r="M112" s="31"/>
      <c r="N112" s="31"/>
      <c r="O112" s="31"/>
      <c r="P112" s="31"/>
      <c r="Q112" s="31"/>
      <c r="R112" s="31"/>
      <c r="S112" s="49"/>
      <c r="T112" s="79"/>
      <c r="U112" s="24" t="s">
        <v>25</v>
      </c>
      <c r="V112" s="24"/>
      <c r="W112" s="24"/>
      <c r="X112" s="24"/>
      <c r="Y112" s="24"/>
      <c r="Z112" s="95">
        <f>Année_Calendaire</f>
        <v>2016</v>
      </c>
      <c r="AA112" s="95"/>
      <c r="AB112" s="49"/>
      <c r="AC112" s="79"/>
      <c r="AD112" s="31"/>
      <c r="AE112" s="31"/>
      <c r="AF112" s="31"/>
      <c r="AG112" s="31"/>
      <c r="AH112" s="31"/>
      <c r="AI112" s="31"/>
      <c r="AJ112" s="31"/>
      <c r="AK112" s="49"/>
      <c r="AL112" s="79"/>
      <c r="AM112" s="24" t="s">
        <v>25</v>
      </c>
      <c r="AN112" s="24"/>
      <c r="AO112" s="24"/>
      <c r="AP112" s="24"/>
      <c r="AQ112" s="24"/>
      <c r="AR112" s="95">
        <f>Année_Calendaire</f>
        <v>2016</v>
      </c>
      <c r="AS112" s="95"/>
      <c r="AT112" s="49"/>
      <c r="AU112" s="79"/>
      <c r="AV112" s="31"/>
      <c r="AW112" s="31"/>
      <c r="AX112" s="49"/>
    </row>
    <row r="113" spans="1:58" ht="29.25" customHeight="1" x14ac:dyDescent="0.25">
      <c r="A113" s="31"/>
      <c r="B113" s="31"/>
      <c r="C113" s="62" t="s">
        <v>13</v>
      </c>
      <c r="D113" s="62" t="s">
        <v>14</v>
      </c>
      <c r="E113" s="62" t="s">
        <v>15</v>
      </c>
      <c r="F113" s="62" t="s">
        <v>16</v>
      </c>
      <c r="G113" s="62" t="s">
        <v>17</v>
      </c>
      <c r="H113" s="62" t="s">
        <v>18</v>
      </c>
      <c r="I113" s="62" t="s">
        <v>19</v>
      </c>
      <c r="J113" s="96" t="s">
        <v>32</v>
      </c>
      <c r="K113" s="85"/>
      <c r="L113" s="62" t="s">
        <v>13</v>
      </c>
      <c r="M113" s="62" t="s">
        <v>14</v>
      </c>
      <c r="N113" s="62" t="s">
        <v>15</v>
      </c>
      <c r="O113" s="62" t="s">
        <v>16</v>
      </c>
      <c r="P113" s="62" t="s">
        <v>17</v>
      </c>
      <c r="Q113" s="62" t="s">
        <v>18</v>
      </c>
      <c r="R113" s="62" t="s">
        <v>19</v>
      </c>
      <c r="S113" s="96" t="s">
        <v>32</v>
      </c>
      <c r="T113" s="85"/>
      <c r="U113" s="62" t="s">
        <v>13</v>
      </c>
      <c r="V113" s="62" t="s">
        <v>14</v>
      </c>
      <c r="W113" s="62" t="s">
        <v>15</v>
      </c>
      <c r="X113" s="62" t="s">
        <v>16</v>
      </c>
      <c r="Y113" s="62" t="s">
        <v>17</v>
      </c>
      <c r="Z113" s="62" t="s">
        <v>18</v>
      </c>
      <c r="AA113" s="62" t="s">
        <v>19</v>
      </c>
      <c r="AB113" s="96" t="s">
        <v>32</v>
      </c>
      <c r="AC113" s="85"/>
      <c r="AD113" s="62" t="s">
        <v>13</v>
      </c>
      <c r="AE113" s="62" t="s">
        <v>14</v>
      </c>
      <c r="AF113" s="62" t="s">
        <v>15</v>
      </c>
      <c r="AG113" s="62" t="s">
        <v>16</v>
      </c>
      <c r="AH113" s="62" t="s">
        <v>17</v>
      </c>
      <c r="AI113" s="62" t="s">
        <v>18</v>
      </c>
      <c r="AJ113" s="62" t="s">
        <v>19</v>
      </c>
      <c r="AK113" s="96" t="s">
        <v>32</v>
      </c>
      <c r="AL113" s="85"/>
      <c r="AM113" s="62" t="s">
        <v>13</v>
      </c>
      <c r="AN113" s="62" t="s">
        <v>14</v>
      </c>
      <c r="AO113" s="62" t="s">
        <v>15</v>
      </c>
      <c r="AP113" s="62" t="s">
        <v>16</v>
      </c>
      <c r="AQ113" s="62" t="s">
        <v>17</v>
      </c>
      <c r="AR113" s="62" t="s">
        <v>18</v>
      </c>
      <c r="AS113" s="62" t="s">
        <v>19</v>
      </c>
      <c r="AT113" s="96" t="s">
        <v>32</v>
      </c>
      <c r="AU113" s="85" t="s">
        <v>79</v>
      </c>
      <c r="AV113" s="62" t="s">
        <v>13</v>
      </c>
      <c r="AW113" s="62" t="s">
        <v>14</v>
      </c>
      <c r="AX113" s="96" t="s">
        <v>32</v>
      </c>
      <c r="AY113" s="96" t="s">
        <v>35</v>
      </c>
      <c r="AZ113" s="97">
        <f>AY120+AY121+AY122</f>
        <v>0</v>
      </c>
      <c r="BA113" s="97">
        <f>AZ113+BA95</f>
        <v>10</v>
      </c>
    </row>
    <row r="114" spans="1:58" ht="15" customHeight="1" x14ac:dyDescent="0.25">
      <c r="A114" s="48"/>
      <c r="B114" s="83"/>
      <c r="C114" s="67" t="str">
        <f>IF(DAY(Juil_Dim1)=1,"",IF(AND(YEAR(Juil_Dim1+1)=Année_Calendaire,MONTH(Juil_Dim1+1)=7),Juil_Dim1+1,""))</f>
        <v/>
      </c>
      <c r="D114" s="67" t="str">
        <f>IF(DAY(Juil_Dim1)=1,"",IF(AND(YEAR(Juil_Dim1+2)=Année_Calendaire,MONTH(Juil_Dim1+2)=7),Juil_Dim1+2,""))</f>
        <v/>
      </c>
      <c r="E114" s="67" t="str">
        <f>IF(DAY(Juil_Dim1)=1,"",IF(AND(YEAR(Juil_Dim1+3)=Année_Calendaire,MONTH(Juil_Dim1+3)=7),Juil_Dim1+3,""))</f>
        <v/>
      </c>
      <c r="F114" s="67" t="str">
        <f>IF(DAY(Juil_Dim1)=1,"",IF(AND(YEAR(Juil_Dim1+4)=Année_Calendaire,MONTH(Juil_Dim1+4)=7),Juil_Dim1+4,""))</f>
        <v/>
      </c>
      <c r="G114" s="67">
        <f>IF(DAY(Juil_Dim1)=1,"",IF(AND(YEAR(Juil_Dim1+5)=Année_Calendaire,MONTH(Juil_Dim1+5)=7),Juil_Dim1+5,""))</f>
        <v>42552</v>
      </c>
      <c r="H114" s="67">
        <f>IF(DAY(Juil_Dim1)=1,"",IF(AND(YEAR(Juil_Dim1+6)=Année_Calendaire,MONTH(Juil_Dim1+6)=7),Juil_Dim1+6,""))</f>
        <v>42553</v>
      </c>
      <c r="I114" s="67">
        <f>IF(DAY(Juil_Dim1)=1,IF(AND(YEAR(Juil_Dim1)=Année_Calendaire,MONTH(Juil_Dim1)=7),Juil_Dim1,""),IF(AND(YEAR(Juil_Dim1+7)=Année_Calendaire,MONTH(Juil_Dim1+7)=7),Juil_Dim1+7,""))</f>
        <v>42554</v>
      </c>
      <c r="J114" s="96"/>
      <c r="K114" s="78"/>
      <c r="L114" s="67">
        <f>IF(DAY(Juil_Dim1)=1,IF(AND(YEAR(Juil_Dim1+1)=Année_Calendaire,MONTH(Juil_Dim1+1)=7),Juil_Dim1+1,""),IF(AND(YEAR(Juil_Dim1+8)=Année_Calendaire,MONTH(Juil_Dim1+8)=7),Juil_Dim1+8,""))</f>
        <v>42555</v>
      </c>
      <c r="M114" s="67">
        <f>IF(DAY(Juil_Dim1)=1,IF(AND(YEAR(Juil_Dim1+2)=Année_Calendaire,MONTH(Juil_Dim1+2)=7),Juil_Dim1+2,""),IF(AND(YEAR(Juil_Dim1+9)=Année_Calendaire,MONTH(Juil_Dim1+9)=7),Juil_Dim1+9,""))</f>
        <v>42556</v>
      </c>
      <c r="N114" s="67">
        <f>IF(DAY(Juil_Dim1)=1,IF(AND(YEAR(Juil_Dim1+3)=Année_Calendaire,MONTH(Juil_Dim1+3)=7),Juil_Dim1+3,""),IF(AND(YEAR(Juil_Dim1+10)=Année_Calendaire,MONTH(Juil_Dim1+10)=7),Juil_Dim1+10,""))</f>
        <v>42557</v>
      </c>
      <c r="O114" s="67">
        <f>IF(DAY(Juil_Dim1)=1,IF(AND(YEAR(Juil_Dim1+4)=Année_Calendaire,MONTH(Juil_Dim1+4)=7),Juil_Dim1+4,""),IF(AND(YEAR(Juil_Dim1+11)=Année_Calendaire,MONTH(Juil_Dim1+11)=7),Juil_Dim1+11,""))</f>
        <v>42558</v>
      </c>
      <c r="P114" s="67">
        <f>IF(DAY(Juil_Dim1)=1,IF(AND(YEAR(Juil_Dim1+5)=Année_Calendaire,MONTH(Juil_Dim1+5)=7),Juil_Dim1+5,""),IF(AND(YEAR(Juil_Dim1+12)=Année_Calendaire,MONTH(Juil_Dim1+12)=7),Juil_Dim1+12,""))</f>
        <v>42559</v>
      </c>
      <c r="Q114" s="67">
        <f>IF(DAY(Juil_Dim1)=1,IF(AND(YEAR(Juil_Dim1+6)=Année_Calendaire,MONTH(Juil_Dim1+6)=7),Juil_Dim1+6,""),IF(AND(YEAR(Juil_Dim1+13)=Année_Calendaire,MONTH(Juil_Dim1+13)=7),Juil_Dim1+13,""))</f>
        <v>42560</v>
      </c>
      <c r="R114" s="67">
        <f>IF(DAY(Juil_Dim1)=1,IF(AND(YEAR(Juil_Dim1+7)=Année_Calendaire,MONTH(Juil_Dim1+7)=7),Juil_Dim1+7,""),IF(AND(YEAR(Juil_Dim1+14)=Année_Calendaire,MONTH(Juil_Dim1+14)=7),Juil_Dim1+14,""))</f>
        <v>42561</v>
      </c>
      <c r="S114" s="96"/>
      <c r="T114" s="78"/>
      <c r="U114" s="67">
        <f>IF(DAY(Juil_Dim1)=1,IF(AND(YEAR(Juil_Dim1+8)=Année_Calendaire,MONTH(Juil_Dim1+8)=7),Juil_Dim1+8,""),IF(AND(YEAR(Juil_Dim1+15)=Année_Calendaire,MONTH(Juil_Dim1+15)=7),Juil_Dim1+15,""))</f>
        <v>42562</v>
      </c>
      <c r="V114" s="67">
        <f>IF(DAY(Juil_Dim1)=1,IF(AND(YEAR(Juil_Dim1+9)=Année_Calendaire,MONTH(Juil_Dim1+9)=7),Juil_Dim1+9,""),IF(AND(YEAR(Juil_Dim1+16)=Année_Calendaire,MONTH(Juil_Dim1+16)=7),Juil_Dim1+16,""))</f>
        <v>42563</v>
      </c>
      <c r="W114" s="67">
        <f>IF(DAY(Juil_Dim1)=1,IF(AND(YEAR(Juil_Dim1+10)=Année_Calendaire,MONTH(Juil_Dim1+10)=7),Juil_Dim1+10,""),IF(AND(YEAR(Juil_Dim1+17)=Année_Calendaire,MONTH(Juil_Dim1+17)=7),Juil_Dim1+17,""))</f>
        <v>42564</v>
      </c>
      <c r="X114" s="67">
        <f>IF(DAY(Juil_Dim1)=1,IF(AND(YEAR(Juil_Dim1+11)=Année_Calendaire,MONTH(Juil_Dim1+11)=7),Juil_Dim1+11,""),IF(AND(YEAR(Juil_Dim1+18)=Année_Calendaire,MONTH(Juil_Dim1+18)=7),Juil_Dim1+18,""))</f>
        <v>42565</v>
      </c>
      <c r="Y114" s="67">
        <f>IF(DAY(Juil_Dim1)=1,IF(AND(YEAR(Juil_Dim1+12)=Année_Calendaire,MONTH(Juil_Dim1+12)=7),Juil_Dim1+12,""),IF(AND(YEAR(Juil_Dim1+19)=Année_Calendaire,MONTH(Juil_Dim1+19)=7),Juil_Dim1+19,""))</f>
        <v>42566</v>
      </c>
      <c r="Z114" s="67">
        <f>IF(DAY(Juil_Dim1)=1,IF(AND(YEAR(Juil_Dim1+13)=Année_Calendaire,MONTH(Juil_Dim1+13)=7),Juil_Dim1+13,""),IF(AND(YEAR(Juil_Dim1+20)=Année_Calendaire,MONTH(Juil_Dim1+20)=7),Juil_Dim1+20,""))</f>
        <v>42567</v>
      </c>
      <c r="AA114" s="67">
        <f>IF(DAY(Juil_Dim1)=1,IF(AND(YEAR(Juil_Dim1+14)=Année_Calendaire,MONTH(Juil_Dim1+14)=7),Juil_Dim1+14,""),IF(AND(YEAR(Juil_Dim1+21)=Année_Calendaire,MONTH(Juil_Dim1+21)=7),Juil_Dim1+21,""))</f>
        <v>42568</v>
      </c>
      <c r="AB114" s="96"/>
      <c r="AC114" s="78"/>
      <c r="AD114" s="67">
        <f>IF(DAY(Juil_Dim1)=1,IF(AND(YEAR(Juil_Dim1+15)=Année_Calendaire,MONTH(Juil_Dim1+15)=7),Juil_Dim1+15,""),IF(AND(YEAR(Juil_Dim1+22)=Année_Calendaire,MONTH(Juil_Dim1+22)=7),Juil_Dim1+22,""))</f>
        <v>42569</v>
      </c>
      <c r="AE114" s="67">
        <f>IF(DAY(Juil_Dim1)=1,IF(AND(YEAR(Juil_Dim1+16)=Année_Calendaire,MONTH(Juil_Dim1+16)=7),Juil_Dim1+16,""),IF(AND(YEAR(Juil_Dim1+23)=Année_Calendaire,MONTH(Juil_Dim1+23)=7),Juil_Dim1+23,""))</f>
        <v>42570</v>
      </c>
      <c r="AF114" s="67">
        <f>IF(DAY(Juil_Dim1)=1,IF(AND(YEAR(Juil_Dim1+17)=Année_Calendaire,MONTH(Juil_Dim1+17)=7),Juil_Dim1+17,""),IF(AND(YEAR(Juil_Dim1+24)=Année_Calendaire,MONTH(Juil_Dim1+24)=7),Juil_Dim1+24,""))</f>
        <v>42571</v>
      </c>
      <c r="AG114" s="67">
        <f>IF(DAY(Juil_Dim1)=1,IF(AND(YEAR(Juil_Dim1+18)=Année_Calendaire,MONTH(Juil_Dim1+18)=7),Juil_Dim1+18,""),IF(AND(YEAR(Juil_Dim1+25)=Année_Calendaire,MONTH(Juil_Dim1+25)=7),Juil_Dim1+25,""))</f>
        <v>42572</v>
      </c>
      <c r="AH114" s="67">
        <f>IF(DAY(Juil_Dim1)=1,IF(AND(YEAR(Juil_Dim1+19)=Année_Calendaire,MONTH(Juil_Dim1+19)=7),Juil_Dim1+19,""),IF(AND(YEAR(Juil_Dim1+26)=Année_Calendaire,MONTH(Juil_Dim1+26)=7),Juil_Dim1+26,""))</f>
        <v>42573</v>
      </c>
      <c r="AI114" s="67">
        <f>IF(DAY(Juil_Dim1)=1,IF(AND(YEAR(Juil_Dim1+20)=Année_Calendaire,MONTH(Juil_Dim1+20)=7),Juil_Dim1+20,""),IF(AND(YEAR(Juil_Dim1+27)=Année_Calendaire,MONTH(Juil_Dim1+27)=7),Juil_Dim1+27,""))</f>
        <v>42574</v>
      </c>
      <c r="AJ114" s="67">
        <f>IF(DAY(Juil_Dim1)=1,IF(AND(YEAR(Juil_Dim1+21)=Année_Calendaire,MONTH(Juil_Dim1+21)=7),Juil_Dim1+21,""),IF(AND(YEAR(Juil_Dim1+28)=Année_Calendaire,MONTH(Juil_Dim1+28)=7),Juil_Dim1+28,""))</f>
        <v>42575</v>
      </c>
      <c r="AK114" s="96"/>
      <c r="AL114" s="78"/>
      <c r="AM114" s="67">
        <f>IF(DAY(Juil_Dim1)=1,IF(AND(YEAR(Juil_Dim1+22)=Année_Calendaire,MONTH(Juil_Dim1+22)=7),Juil_Dim1+22,""),IF(AND(YEAR(Juil_Dim1+29)=Année_Calendaire,MONTH(Juil_Dim1+29)=7),Juil_Dim1+29,""))</f>
        <v>42576</v>
      </c>
      <c r="AN114" s="67">
        <f>IF(DAY(Juil_Dim1)=1,IF(AND(YEAR(Juil_Dim1+23)=Année_Calendaire,MONTH(Juil_Dim1+23)=7),Juil_Dim1+23,""),IF(AND(YEAR(Juil_Dim1+30)=Année_Calendaire,MONTH(Juil_Dim1+30)=7),Juil_Dim1+30,""))</f>
        <v>42577</v>
      </c>
      <c r="AO114" s="67">
        <f>IF(DAY(Juil_Dim1)=1,IF(AND(YEAR(Juil_Dim1+24)=Année_Calendaire,MONTH(Juil_Dim1+24)=7),Juil_Dim1+24,""),IF(AND(YEAR(Juil_Dim1+31)=Année_Calendaire,MONTH(Juil_Dim1+31)=7),Juil_Dim1+31,""))</f>
        <v>42578</v>
      </c>
      <c r="AP114" s="67">
        <f>IF(DAY(Juil_Dim1)=1,IF(AND(YEAR(Juil_Dim1+25)=Année_Calendaire,MONTH(Juil_Dim1+25)=7),Juil_Dim1+25,""),IF(AND(YEAR(Juil_Dim1+32)=Année_Calendaire,MONTH(Juil_Dim1+32)=7),Juil_Dim1+32,""))</f>
        <v>42579</v>
      </c>
      <c r="AQ114" s="67">
        <f>IF(DAY(Juil_Dim1)=1,IF(AND(YEAR(Juil_Dim1+26)=Année_Calendaire,MONTH(Juil_Dim1+26)=7),Juil_Dim1+26,""),IF(AND(YEAR(Juil_Dim1+33)=Année_Calendaire,MONTH(Juil_Dim1+33)=7),Juil_Dim1+33,""))</f>
        <v>42580</v>
      </c>
      <c r="AR114" s="67">
        <f>IF(DAY(Juil_Dim1)=1,IF(AND(YEAR(Juil_Dim1+27)=Année_Calendaire,MONTH(Juil_Dim1+27)=7),Juil_Dim1+27,""),IF(AND(YEAR(Juil_Dim1+34)=Année_Calendaire,MONTH(Juil_Dim1+34)=7),Juil_Dim1+34,""))</f>
        <v>42581</v>
      </c>
      <c r="AS114" s="67">
        <f>IF(DAY(Juil_Dim1)=1,IF(AND(YEAR(Juil_Dim1+28)=Année_Calendaire,MONTH(Juil_Dim1+28)=7),Juil_Dim1+28,""),IF(AND(YEAR(Juil_Dim1+35)=Année_Calendaire,MONTH(Juil_Dim1+35)=7),Juil_Dim1+35,""))</f>
        <v>42582</v>
      </c>
      <c r="AT114" s="96"/>
      <c r="AU114" s="78"/>
      <c r="AV114" s="61" t="str">
        <f>IF(DAY(Juil_Dim1)=1,IF(AND(YEAR(Juil_Dim1+29)=Année_Calendaire,MONTH(Juil_Dim1+29)=7),Juil_Dim1+29,""),IF(AND(YEAR(Juil_Dim1+36)=Année_Calendaire,MONTH(Juil_Dim1+36)=7),Juil_Dim1+36,""))</f>
        <v/>
      </c>
      <c r="AW114" s="61" t="str">
        <f>IF(DAY(Juil_Dim1)=1,IF(AND(YEAR(Juil_Dim1+30)=Année_Calendaire,MONTH(Juil_Dim1+30)=7),Juil_Dim1+30,""),IF(AND(YEAR(Juil_Dim1+37)=Année_Calendaire,MONTH(Juil_Dim1+37)=7),Juil_Dim1+37,""))</f>
        <v/>
      </c>
      <c r="AX114" s="96"/>
      <c r="AY114" s="96"/>
      <c r="AZ114" s="97"/>
      <c r="BA114" s="97"/>
    </row>
    <row r="115" spans="1:58" ht="15" customHeight="1" x14ac:dyDescent="0.25">
      <c r="A115" s="21" t="s">
        <v>2</v>
      </c>
      <c r="B115" s="81"/>
      <c r="C115" s="60">
        <f>IFERROR(VLOOKUP(B113,DATA!$A:$H,2,TRUE),0)</f>
        <v>0</v>
      </c>
      <c r="D115" s="60">
        <f>IFERROR(VLOOKUP(B113,DATA!$A:$H,3,TRUE),0)</f>
        <v>0</v>
      </c>
      <c r="E115" s="60">
        <f>IFERROR(VLOOKUP(B113,DATA!$A:$H,4,TRUE),0)</f>
        <v>0</v>
      </c>
      <c r="F115" s="60">
        <f>IFERROR(VLOOKUP(B113,DATA!$A:$H,5,TRUE),0)</f>
        <v>0</v>
      </c>
      <c r="G115" s="60">
        <f>IFERROR(VLOOKUP(B113,DATA!$A:$H,6,TRUE),0)</f>
        <v>0</v>
      </c>
      <c r="H115" s="60">
        <f>IFERROR(VLOOKUP(B113,DATA!$A:$H,7,TRUE),0)</f>
        <v>0</v>
      </c>
      <c r="I115" s="60">
        <f>IFERROR(VLOOKUP(B113,DATA!$A:$H,8,TRUE),0)</f>
        <v>0</v>
      </c>
      <c r="J115" s="60"/>
      <c r="K115" s="60"/>
      <c r="L115" s="60">
        <f>IFERROR(VLOOKUP(K113,DATA!$A:$H,2,TRUE),0)</f>
        <v>0</v>
      </c>
      <c r="M115" s="60">
        <f>IFERROR(VLOOKUP(K113,DATA!$A:$H,3,TRUE),0)</f>
        <v>0</v>
      </c>
      <c r="N115" s="60">
        <f>IFERROR(VLOOKUP(K113,DATA!$A:$H,4,TRUE),0)</f>
        <v>0</v>
      </c>
      <c r="O115" s="60">
        <f>IFERROR(VLOOKUP(K113,DATA!$A:$H,5,TRUE),0)</f>
        <v>0</v>
      </c>
      <c r="P115" s="60">
        <f>IFERROR(VLOOKUP(K113,DATA!$A:$H,6,TRUE),0)</f>
        <v>0</v>
      </c>
      <c r="Q115" s="60">
        <f>IFERROR(VLOOKUP(K113,DATA!$A:$H,7,TRUE),0)</f>
        <v>0</v>
      </c>
      <c r="R115" s="60">
        <f>IFERROR(VLOOKUP(K113,DATA!$A:$H,8,TRUE),0)</f>
        <v>0</v>
      </c>
      <c r="S115" s="60"/>
      <c r="T115" s="60"/>
      <c r="U115" s="60">
        <f>IFERROR(VLOOKUP(T113,DATA!$A:$H,2,TRUE),0)</f>
        <v>0</v>
      </c>
      <c r="V115" s="60">
        <f>IFERROR(VLOOKUP(T113,DATA!$A:$H,3,TRUE),0)</f>
        <v>0</v>
      </c>
      <c r="W115" s="60">
        <f>IFERROR(VLOOKUP(T113,DATA!$A:$H,4,TRUE),0)</f>
        <v>0</v>
      </c>
      <c r="X115" s="60">
        <f>IFERROR(VLOOKUP(T113,DATA!$A:$H,5,TRUE),0)</f>
        <v>0</v>
      </c>
      <c r="Y115" s="60">
        <f>IFERROR(VLOOKUP(T113,DATA!$A:$H,6,TRUE),0)</f>
        <v>0</v>
      </c>
      <c r="Z115" s="60">
        <f>IFERROR(VLOOKUP(T113,DATA!$A:$H,7,TRUE),0)</f>
        <v>0</v>
      </c>
      <c r="AA115" s="60">
        <f>IFERROR(VLOOKUP(T113,DATA!$A:$H,8,TRUE),0)</f>
        <v>0</v>
      </c>
      <c r="AB115" s="60"/>
      <c r="AC115" s="60"/>
      <c r="AD115" s="60">
        <f>IFERROR(VLOOKUP(AC113,DATA!$A:$H,2,TRUE),0)</f>
        <v>0</v>
      </c>
      <c r="AE115" s="60">
        <f>IFERROR(VLOOKUP(AC113,DATA!$A:$H,3,TRUE),0)</f>
        <v>0</v>
      </c>
      <c r="AF115" s="60">
        <f>IFERROR(VLOOKUP(AC113,DATA!$A:$H,4,TRUE),0)</f>
        <v>0</v>
      </c>
      <c r="AG115" s="60">
        <f>IFERROR(VLOOKUP(AC113,DATA!$A:$H,5,TRUE),0)</f>
        <v>0</v>
      </c>
      <c r="AH115" s="60">
        <f>IFERROR(VLOOKUP(AC113,DATA!$A:$H,6,TRUE),0)</f>
        <v>0</v>
      </c>
      <c r="AI115" s="60">
        <f>IFERROR(VLOOKUP(AC113,DATA!$A:$H,7,TRUE),0)</f>
        <v>0</v>
      </c>
      <c r="AJ115" s="60">
        <f>IFERROR(VLOOKUP(AC113,DATA!$A:$H,8,TRUE),0)</f>
        <v>0</v>
      </c>
      <c r="AK115" s="60"/>
      <c r="AL115" s="60"/>
      <c r="AM115" s="60">
        <f>IFERROR(VLOOKUP(AL113,DATA!$A:$H,2,TRUE),0)</f>
        <v>0</v>
      </c>
      <c r="AN115" s="60">
        <f>IFERROR(VLOOKUP(AL113,DATA!$A:$H,3,TRUE),0)</f>
        <v>0</v>
      </c>
      <c r="AO115" s="60">
        <f>IFERROR(VLOOKUP(AL113,DATA!$A:$H,4,TRUE),0)</f>
        <v>0</v>
      </c>
      <c r="AP115" s="60">
        <f>IFERROR(VLOOKUP(AL113,DATA!$A:$H,5,TRUE),0)</f>
        <v>0</v>
      </c>
      <c r="AQ115" s="60">
        <f>IFERROR(VLOOKUP(AL113,DATA!$A:$H,6,TRUE),0)</f>
        <v>0</v>
      </c>
      <c r="AR115" s="60">
        <f>IFERROR(VLOOKUP(AL113,DATA!$A:$H,7,TRUE),0)</f>
        <v>0</v>
      </c>
      <c r="AS115" s="60">
        <f>IFERROR(VLOOKUP(AL113,DATA!$A:$H,8,TRUE),0)</f>
        <v>0</v>
      </c>
      <c r="AT115" s="60"/>
      <c r="AU115" s="60"/>
      <c r="AV115" s="60" t="str">
        <f>IFERROR(VLOOKUP(AU113,DATA!$A:$H,2,TRUE),0)</f>
        <v>matin</v>
      </c>
      <c r="AW115" s="60">
        <f>IFERROR(VLOOKUP(AU113,DATA!$A:$H,3,TRUE),0)</f>
        <v>0</v>
      </c>
      <c r="AX115" s="60"/>
      <c r="AY115" s="63"/>
    </row>
    <row r="116" spans="1:58" ht="15" customHeight="1" x14ac:dyDescent="0.25">
      <c r="A116" s="21" t="s">
        <v>12</v>
      </c>
      <c r="B116" s="81"/>
      <c r="C116" s="60">
        <f t="shared" ref="C116:I116" si="268">IF(C115="Matin",1,IF(C115="AM",1,0))</f>
        <v>0</v>
      </c>
      <c r="D116" s="60">
        <f t="shared" si="268"/>
        <v>0</v>
      </c>
      <c r="E116" s="60">
        <f t="shared" si="268"/>
        <v>0</v>
      </c>
      <c r="F116" s="60">
        <f t="shared" si="268"/>
        <v>0</v>
      </c>
      <c r="G116" s="60">
        <f t="shared" si="268"/>
        <v>0</v>
      </c>
      <c r="H116" s="60">
        <f t="shared" si="268"/>
        <v>0</v>
      </c>
      <c r="I116" s="60">
        <f t="shared" si="268"/>
        <v>0</v>
      </c>
      <c r="J116" s="60">
        <f>SUM(C116:I116)</f>
        <v>0</v>
      </c>
      <c r="K116" s="60"/>
      <c r="L116" s="60">
        <f t="shared" ref="L116:R116" si="269">IF(L115="Matin",1,IF(L115="AM",1,0))</f>
        <v>0</v>
      </c>
      <c r="M116" s="60">
        <f t="shared" si="269"/>
        <v>0</v>
      </c>
      <c r="N116" s="60">
        <f t="shared" si="269"/>
        <v>0</v>
      </c>
      <c r="O116" s="60">
        <f t="shared" si="269"/>
        <v>0</v>
      </c>
      <c r="P116" s="60">
        <f t="shared" si="269"/>
        <v>0</v>
      </c>
      <c r="Q116" s="60">
        <f t="shared" si="269"/>
        <v>0</v>
      </c>
      <c r="R116" s="60">
        <f t="shared" si="269"/>
        <v>0</v>
      </c>
      <c r="S116" s="60">
        <f>SUM(L116:R116)</f>
        <v>0</v>
      </c>
      <c r="T116" s="60"/>
      <c r="U116" s="60">
        <f t="shared" ref="U116:AA116" si="270">IF(U115="Matin",1,IF(U115="AM",1,0))</f>
        <v>0</v>
      </c>
      <c r="V116" s="60">
        <f t="shared" si="270"/>
        <v>0</v>
      </c>
      <c r="W116" s="60">
        <f t="shared" si="270"/>
        <v>0</v>
      </c>
      <c r="X116" s="60">
        <f t="shared" si="270"/>
        <v>0</v>
      </c>
      <c r="Y116" s="60">
        <f t="shared" si="270"/>
        <v>0</v>
      </c>
      <c r="Z116" s="60">
        <f t="shared" si="270"/>
        <v>0</v>
      </c>
      <c r="AA116" s="60">
        <f t="shared" si="270"/>
        <v>0</v>
      </c>
      <c r="AB116" s="60">
        <f>SUM(U116:AA116)</f>
        <v>0</v>
      </c>
      <c r="AC116" s="60"/>
      <c r="AD116" s="60">
        <f t="shared" ref="AD116:AJ116" si="271">IF(AD115="Matin",1,IF(AD115="AM",1,0))</f>
        <v>0</v>
      </c>
      <c r="AE116" s="60">
        <f t="shared" si="271"/>
        <v>0</v>
      </c>
      <c r="AF116" s="60">
        <f t="shared" si="271"/>
        <v>0</v>
      </c>
      <c r="AG116" s="60">
        <f t="shared" si="271"/>
        <v>0</v>
      </c>
      <c r="AH116" s="60">
        <f t="shared" si="271"/>
        <v>0</v>
      </c>
      <c r="AI116" s="60">
        <f t="shared" si="271"/>
        <v>0</v>
      </c>
      <c r="AJ116" s="60">
        <f t="shared" si="271"/>
        <v>0</v>
      </c>
      <c r="AK116" s="60">
        <f>SUM(AD116:AJ116)</f>
        <v>0</v>
      </c>
      <c r="AL116" s="60"/>
      <c r="AM116" s="60">
        <f t="shared" ref="AM116:AS116" si="272">IF(AM115="Matin",1,IF(AM115="AM",1,0))</f>
        <v>0</v>
      </c>
      <c r="AN116" s="60">
        <f t="shared" si="272"/>
        <v>0</v>
      </c>
      <c r="AO116" s="60">
        <f t="shared" si="272"/>
        <v>0</v>
      </c>
      <c r="AP116" s="60">
        <f t="shared" si="272"/>
        <v>0</v>
      </c>
      <c r="AQ116" s="60">
        <f t="shared" si="272"/>
        <v>0</v>
      </c>
      <c r="AR116" s="60">
        <f t="shared" si="272"/>
        <v>0</v>
      </c>
      <c r="AS116" s="60">
        <f t="shared" si="272"/>
        <v>0</v>
      </c>
      <c r="AT116" s="60">
        <f>SUM(AM116:AS116)</f>
        <v>0</v>
      </c>
      <c r="AU116" s="60"/>
      <c r="AV116" s="60">
        <f t="shared" ref="AV116:AW116" si="273">IF(AV115="Matin",1,IF(AV115="AM",1,0))</f>
        <v>1</v>
      </c>
      <c r="AW116" s="60">
        <f t="shared" si="273"/>
        <v>0</v>
      </c>
      <c r="AX116" s="60">
        <f t="shared" ref="AX116:AX123" si="274">SUM(AV116:AW116)</f>
        <v>1</v>
      </c>
      <c r="AY116" s="60">
        <f>J116+S116+AB116+AK116+AT116+AX116</f>
        <v>1</v>
      </c>
    </row>
    <row r="117" spans="1:58" ht="15" customHeight="1" x14ac:dyDescent="0.25">
      <c r="A117" s="21" t="s">
        <v>4</v>
      </c>
      <c r="B117" s="81"/>
      <c r="C117" s="60">
        <f>IF(C118&gt;=1,1,0)</f>
        <v>0</v>
      </c>
      <c r="D117" s="60">
        <f>IF(D118&gt;=1,1,0)</f>
        <v>0</v>
      </c>
      <c r="E117" s="60">
        <f t="shared" ref="E117:I117" si="275">IF(E118&gt;=1,1,0)</f>
        <v>0</v>
      </c>
      <c r="F117" s="60">
        <f t="shared" si="275"/>
        <v>0</v>
      </c>
      <c r="G117" s="60">
        <f t="shared" si="275"/>
        <v>0</v>
      </c>
      <c r="H117" s="60">
        <f t="shared" si="275"/>
        <v>0</v>
      </c>
      <c r="I117" s="60">
        <f t="shared" si="275"/>
        <v>0</v>
      </c>
      <c r="J117" s="60">
        <f t="shared" ref="J117:J127" si="276">SUM(C117:I117)</f>
        <v>0</v>
      </c>
      <c r="K117" s="60"/>
      <c r="L117" s="60">
        <f>IF(L118&gt;=1,1,0)</f>
        <v>0</v>
      </c>
      <c r="M117" s="60">
        <f t="shared" ref="M117:R117" si="277">IF(M118&gt;=1,1,0)</f>
        <v>0</v>
      </c>
      <c r="N117" s="60">
        <f t="shared" si="277"/>
        <v>0</v>
      </c>
      <c r="O117" s="60">
        <f t="shared" si="277"/>
        <v>0</v>
      </c>
      <c r="P117" s="60">
        <f t="shared" si="277"/>
        <v>0</v>
      </c>
      <c r="Q117" s="60">
        <f t="shared" si="277"/>
        <v>0</v>
      </c>
      <c r="R117" s="60">
        <f t="shared" si="277"/>
        <v>0</v>
      </c>
      <c r="S117" s="60">
        <f t="shared" ref="S117:S127" si="278">SUM(L117:R117)</f>
        <v>0</v>
      </c>
      <c r="T117" s="60"/>
      <c r="U117" s="60">
        <f>IF(U118&gt;=1,1,0)</f>
        <v>0</v>
      </c>
      <c r="V117" s="60">
        <f t="shared" ref="V117:AA117" si="279">IF(V118&gt;=1,1,0)</f>
        <v>0</v>
      </c>
      <c r="W117" s="60">
        <f t="shared" si="279"/>
        <v>0</v>
      </c>
      <c r="X117" s="60">
        <f t="shared" si="279"/>
        <v>0</v>
      </c>
      <c r="Y117" s="60">
        <f t="shared" si="279"/>
        <v>0</v>
      </c>
      <c r="Z117" s="60">
        <f t="shared" si="279"/>
        <v>0</v>
      </c>
      <c r="AA117" s="60">
        <f t="shared" si="279"/>
        <v>0</v>
      </c>
      <c r="AB117" s="60">
        <f t="shared" ref="AB117:AB127" si="280">SUM(U117:AA117)</f>
        <v>0</v>
      </c>
      <c r="AC117" s="60"/>
      <c r="AD117" s="60">
        <f>IF(AD118&gt;=1,1,0)</f>
        <v>0</v>
      </c>
      <c r="AE117" s="60">
        <f t="shared" ref="AE117:AJ117" si="281">IF(AE118&gt;=1,1,0)</f>
        <v>0</v>
      </c>
      <c r="AF117" s="60">
        <f t="shared" si="281"/>
        <v>0</v>
      </c>
      <c r="AG117" s="60">
        <f t="shared" si="281"/>
        <v>0</v>
      </c>
      <c r="AH117" s="60">
        <f t="shared" si="281"/>
        <v>0</v>
      </c>
      <c r="AI117" s="60">
        <f t="shared" si="281"/>
        <v>0</v>
      </c>
      <c r="AJ117" s="60">
        <f t="shared" si="281"/>
        <v>0</v>
      </c>
      <c r="AK117" s="60">
        <f t="shared" ref="AK117:AK127" si="282">SUM(AD117:AJ117)</f>
        <v>0</v>
      </c>
      <c r="AL117" s="60"/>
      <c r="AM117" s="60">
        <f>IF(AM118&gt;=1,1,0)</f>
        <v>0</v>
      </c>
      <c r="AN117" s="60">
        <f t="shared" ref="AN117:AS117" si="283">IF(AN118&gt;=1,1,0)</f>
        <v>0</v>
      </c>
      <c r="AO117" s="60">
        <f t="shared" si="283"/>
        <v>0</v>
      </c>
      <c r="AP117" s="60">
        <f t="shared" si="283"/>
        <v>0</v>
      </c>
      <c r="AQ117" s="60">
        <f t="shared" si="283"/>
        <v>0</v>
      </c>
      <c r="AR117" s="60">
        <f t="shared" si="283"/>
        <v>0</v>
      </c>
      <c r="AS117" s="60">
        <f t="shared" si="283"/>
        <v>0</v>
      </c>
      <c r="AT117" s="60">
        <f t="shared" ref="AT117:AT127" si="284">SUM(AM117:AS117)</f>
        <v>0</v>
      </c>
      <c r="AU117" s="60"/>
      <c r="AV117" s="60">
        <f>IF(AV118&gt;=1,1,0)</f>
        <v>1</v>
      </c>
      <c r="AW117" s="60">
        <f t="shared" ref="AW117" si="285">IF(AW118&gt;=1,1,0)</f>
        <v>0</v>
      </c>
      <c r="AX117" s="60">
        <f t="shared" si="274"/>
        <v>1</v>
      </c>
      <c r="AY117" s="60">
        <f t="shared" ref="AY117:AY126" si="286">J117+S117+AB117+AK117+AT117+AX117</f>
        <v>1</v>
      </c>
    </row>
    <row r="118" spans="1:58" ht="15" customHeight="1" x14ac:dyDescent="0.25">
      <c r="A118" s="21" t="s">
        <v>3</v>
      </c>
      <c r="B118" s="81"/>
      <c r="C118" s="60">
        <f>IF(C115="Matin",8,IF(C115="AM",8,IF(C115="nuit",8,0)))</f>
        <v>0</v>
      </c>
      <c r="D118" s="60">
        <f t="shared" ref="D118:I118" si="287">IF(D115="Matin",8,IF(D115="AM",8,IF(D115="nuit",8,0)))</f>
        <v>0</v>
      </c>
      <c r="E118" s="60">
        <f t="shared" si="287"/>
        <v>0</v>
      </c>
      <c r="F118" s="60">
        <f t="shared" si="287"/>
        <v>0</v>
      </c>
      <c r="G118" s="60">
        <f t="shared" si="287"/>
        <v>0</v>
      </c>
      <c r="H118" s="60">
        <f t="shared" si="287"/>
        <v>0</v>
      </c>
      <c r="I118" s="60">
        <f t="shared" si="287"/>
        <v>0</v>
      </c>
      <c r="J118" s="60">
        <f t="shared" si="276"/>
        <v>0</v>
      </c>
      <c r="K118" s="60"/>
      <c r="L118" s="60">
        <f>IF(L115="Matin",8,IF(L115="AM",8,IF(L115="nuit",8,0)))</f>
        <v>0</v>
      </c>
      <c r="M118" s="60">
        <f t="shared" ref="M118:R118" si="288">IF(M115="Matin",8,IF(M115="AM",8,IF(M115="nuit",8,0)))</f>
        <v>0</v>
      </c>
      <c r="N118" s="60">
        <f t="shared" si="288"/>
        <v>0</v>
      </c>
      <c r="O118" s="60">
        <f t="shared" si="288"/>
        <v>0</v>
      </c>
      <c r="P118" s="60">
        <f t="shared" si="288"/>
        <v>0</v>
      </c>
      <c r="Q118" s="60">
        <f t="shared" si="288"/>
        <v>0</v>
      </c>
      <c r="R118" s="60">
        <f t="shared" si="288"/>
        <v>0</v>
      </c>
      <c r="S118" s="60">
        <f t="shared" si="278"/>
        <v>0</v>
      </c>
      <c r="T118" s="60"/>
      <c r="U118" s="60">
        <f>IF(U115="Matin",8,IF(U115="AM",8,IF(U115="nuit",8,0)))</f>
        <v>0</v>
      </c>
      <c r="V118" s="60">
        <f t="shared" ref="V118:AA118" si="289">IF(V115="Matin",8,IF(V115="AM",8,IF(V115="nuit",8,0)))</f>
        <v>0</v>
      </c>
      <c r="W118" s="60">
        <f t="shared" si="289"/>
        <v>0</v>
      </c>
      <c r="X118" s="60">
        <f t="shared" si="289"/>
        <v>0</v>
      </c>
      <c r="Y118" s="60">
        <f t="shared" si="289"/>
        <v>0</v>
      </c>
      <c r="Z118" s="60">
        <f t="shared" si="289"/>
        <v>0</v>
      </c>
      <c r="AA118" s="60">
        <f t="shared" si="289"/>
        <v>0</v>
      </c>
      <c r="AB118" s="60">
        <f t="shared" si="280"/>
        <v>0</v>
      </c>
      <c r="AC118" s="60"/>
      <c r="AD118" s="60">
        <f>IF(AD115="Matin",8,IF(AD115="AM",8,IF(AD115="nuit",8,0)))</f>
        <v>0</v>
      </c>
      <c r="AE118" s="60">
        <f t="shared" ref="AE118:AJ118" si="290">IF(AE115="Matin",8,IF(AE115="AM",8,IF(AE115="nuit",8,0)))</f>
        <v>0</v>
      </c>
      <c r="AF118" s="60">
        <f t="shared" si="290"/>
        <v>0</v>
      </c>
      <c r="AG118" s="60">
        <f t="shared" si="290"/>
        <v>0</v>
      </c>
      <c r="AH118" s="60">
        <f t="shared" si="290"/>
        <v>0</v>
      </c>
      <c r="AI118" s="60">
        <f t="shared" si="290"/>
        <v>0</v>
      </c>
      <c r="AJ118" s="60">
        <f t="shared" si="290"/>
        <v>0</v>
      </c>
      <c r="AK118" s="60">
        <f t="shared" si="282"/>
        <v>0</v>
      </c>
      <c r="AL118" s="60"/>
      <c r="AM118" s="60">
        <f>IF(AM115="Matin",8,IF(AM115="AM",8,IF(AM115="nuit",8,0)))</f>
        <v>0</v>
      </c>
      <c r="AN118" s="60">
        <f t="shared" ref="AN118:AS118" si="291">IF(AN115="Matin",8,IF(AN115="AM",8,IF(AN115="nuit",8,0)))</f>
        <v>0</v>
      </c>
      <c r="AO118" s="60">
        <f t="shared" si="291"/>
        <v>0</v>
      </c>
      <c r="AP118" s="60">
        <f t="shared" si="291"/>
        <v>0</v>
      </c>
      <c r="AQ118" s="60">
        <f t="shared" si="291"/>
        <v>0</v>
      </c>
      <c r="AR118" s="60">
        <f t="shared" si="291"/>
        <v>0</v>
      </c>
      <c r="AS118" s="60">
        <f t="shared" si="291"/>
        <v>0</v>
      </c>
      <c r="AT118" s="60">
        <f t="shared" si="284"/>
        <v>0</v>
      </c>
      <c r="AU118" s="60"/>
      <c r="AV118" s="60">
        <f>IF(AV115="Matin",8,IF(AV115="AM",8,IF(AV115="nuit",8,0)))</f>
        <v>8</v>
      </c>
      <c r="AW118" s="60">
        <f t="shared" ref="AW118" si="292">IF(AW115="Matin",8,IF(AW115="AM",8,IF(AW115="nuit",8,0)))</f>
        <v>0</v>
      </c>
      <c r="AX118" s="60">
        <f t="shared" si="274"/>
        <v>8</v>
      </c>
      <c r="AY118" s="60">
        <f t="shared" si="286"/>
        <v>8</v>
      </c>
    </row>
    <row r="119" spans="1:58" ht="15" customHeight="1" x14ac:dyDescent="0.25">
      <c r="A119" s="36" t="s">
        <v>20</v>
      </c>
      <c r="B119" s="82"/>
      <c r="C119" s="66">
        <f>IF(C113&lt;&gt;"Dim",IF(C118&gt;32,MIN(C118,35)-32,0),0)</f>
        <v>0</v>
      </c>
      <c r="D119" s="66">
        <f>IF(D113&lt;&gt;"Dim",IF(SUM($C118:D118)&gt;32,MIN(SUM($C118:D118),35)-32-SUM($C119:C119),0),0)</f>
        <v>0</v>
      </c>
      <c r="E119" s="66">
        <f>IF(E113&lt;&gt;"Dim",IF(SUM($C118:E118)&gt;32,MIN(SUM($C118:E118),35)-32-SUM($C119:D119),0),0)</f>
        <v>0</v>
      </c>
      <c r="F119" s="66">
        <f>IF(F113&lt;&gt;"Dim",IF(SUM($C118:F118)&gt;32,MIN(SUM($C118:F118),35)-32-SUM($C119:E119),0),0)</f>
        <v>0</v>
      </c>
      <c r="G119" s="66">
        <f>IF(G113&lt;&gt;"Dim",IF(SUM($C118:G118)&gt;32,MIN(SUM($C118:G118),35)-32-SUM($C119:F119),0),0)</f>
        <v>0</v>
      </c>
      <c r="H119" s="66">
        <f>IF(H113&lt;&gt;"Dim",IF(SUM($C118:H118)&gt;32,MIN(SUM($C118:H118),35)-32-SUM($C119:G119),0),0)</f>
        <v>0</v>
      </c>
      <c r="I119" s="66">
        <f>IF(I113&lt;&gt;"Dim",IF(SUM($C118:I118)&gt;32,MIN(SUM($C118:I118),35)-32-SUM($C119:H119),0),0)</f>
        <v>0</v>
      </c>
      <c r="J119" s="60">
        <f t="shared" si="276"/>
        <v>0</v>
      </c>
      <c r="K119" s="60"/>
      <c r="L119" s="66">
        <f>IF(L113&lt;&gt;"Dim",IF(L118&gt;32,MIN(L118,35)-32,0),0)</f>
        <v>0</v>
      </c>
      <c r="M119" s="66">
        <f>IF(M113&lt;&gt;"Dim",IF(SUM($L118:M118)&gt;32,MIN(SUM($L118:M118),35)-32-SUM($L119:L119),0),0)</f>
        <v>0</v>
      </c>
      <c r="N119" s="66">
        <f>IF(N113&lt;&gt;"Dim",IF(SUM($L118:N118)&gt;32,MIN(SUM($L118:N118),35)-32-SUM($L119:M119),0),0)</f>
        <v>0</v>
      </c>
      <c r="O119" s="66">
        <f>IF(O113&lt;&gt;"Dim",IF(SUM($L118:O118)&gt;32,MIN(SUM($L118:O118),35)-32-SUM($L119:N119),0),0)</f>
        <v>0</v>
      </c>
      <c r="P119" s="66">
        <f>IF(P113&lt;&gt;"Dim",IF(SUM($L118:P118)&gt;32,MIN(SUM($L118:P118),35)-32-SUM($L119:O119),0),0)</f>
        <v>0</v>
      </c>
      <c r="Q119" s="66">
        <f>IF(Q113&lt;&gt;"Dim",IF(SUM($L118:Q118)&gt;32,MIN(SUM($L118:Q118),35)-32-SUM($L119:P119),0),0)</f>
        <v>0</v>
      </c>
      <c r="R119" s="66">
        <f>IF(R113&lt;&gt;"Dim",IF(SUM($L118:R118)&gt;32,MIN(SUM($L118:R118),35)-32-SUM($L119:Q119),0),0)</f>
        <v>0</v>
      </c>
      <c r="S119" s="60">
        <f t="shared" si="278"/>
        <v>0</v>
      </c>
      <c r="T119" s="60"/>
      <c r="U119" s="66">
        <f>IF(U113&lt;&gt;"Dim",IF(U118&gt;32,MIN(U118,35)-32,0),0)</f>
        <v>0</v>
      </c>
      <c r="V119" s="66">
        <f>IF(V113&lt;&gt;"Dim",IF(SUM($U118:V118)&gt;32,MIN(SUM($U118:V118),35)-32-SUM($U119:U119),0),0)</f>
        <v>0</v>
      </c>
      <c r="W119" s="66">
        <f>IF(W113&lt;&gt;"Dim",IF(SUM($U118:W118)&gt;32,MIN(SUM($U118:W118),35)-32-SUM($U119:V119),0),0)</f>
        <v>0</v>
      </c>
      <c r="X119" s="66">
        <f>IF(X113&lt;&gt;"Dim",IF(SUM($U118:X118)&gt;32,MIN(SUM($U118:X118),35)-32-SUM($U119:W119),0),0)</f>
        <v>0</v>
      </c>
      <c r="Y119" s="66">
        <f>IF(Y113&lt;&gt;"Dim",IF(SUM($U118:Y118)&gt;32,MIN(SUM($U118:Y118),35)-32-SUM($U119:X119),0),0)</f>
        <v>0</v>
      </c>
      <c r="Z119" s="66">
        <f>IF(Z113&lt;&gt;"Dim",IF(SUM($U118:Z118)&gt;32,MIN(SUM($U118:Z118),35)-32-SUM($U119:Y119),0),0)</f>
        <v>0</v>
      </c>
      <c r="AA119" s="66">
        <f>IF(AA113&lt;&gt;"Dim",IF(SUM($U118:AA118)&gt;32,MIN(SUM($U118:AA118),35)-32-SUM($U119:Z119),0),0)</f>
        <v>0</v>
      </c>
      <c r="AB119" s="60">
        <f t="shared" si="280"/>
        <v>0</v>
      </c>
      <c r="AC119" s="60"/>
      <c r="AD119" s="66">
        <f>IF(AD113&lt;&gt;"Dim",IF(AD118&gt;32,MIN(AD118,35)-32,0),0)</f>
        <v>0</v>
      </c>
      <c r="AE119" s="66">
        <f>IF(AE113&lt;&gt;"Dim",IF(SUM($AD118:AE118)&gt;32,MIN(SUM($AD118:AE118),35)-32-SUM($AD119:AD119),0),0)</f>
        <v>0</v>
      </c>
      <c r="AF119" s="66">
        <f>IF(AF113&lt;&gt;"Dim",IF(SUM($AD118:AF118)&gt;32,MIN(SUM($AD118:AF118),35)-32-SUM($AD119:AE119),0),0)</f>
        <v>0</v>
      </c>
      <c r="AG119" s="66">
        <f>IF(AG113&lt;&gt;"Dim",IF(SUM($AD118:AG118)&gt;32,MIN(SUM($AD118:AG118),35)-32-SUM($AD119:AF119),0),0)</f>
        <v>0</v>
      </c>
      <c r="AH119" s="66">
        <f>IF(AH113&lt;&gt;"Dim",IF(SUM($AD118:AH118)&gt;32,MIN(SUM($AD118:AH118),35)-32-SUM($AD119:AG119),0),0)</f>
        <v>0</v>
      </c>
      <c r="AI119" s="66">
        <f>IF(AI113&lt;&gt;"Dim",IF(SUM($AD118:AI118)&gt;32,MIN(SUM($AD118:AI118),35)-32-SUM($AD119:AH119),0),0)</f>
        <v>0</v>
      </c>
      <c r="AJ119" s="66">
        <f>IF(AJ113&lt;&gt;"Dim",IF(SUM($AD118:AJ118)&gt;32,MIN(SUM($AD118:AJ118),35)-32-SUM($AD119:AI119),0),0)</f>
        <v>0</v>
      </c>
      <c r="AK119" s="60">
        <f t="shared" si="282"/>
        <v>0</v>
      </c>
      <c r="AL119" s="60"/>
      <c r="AM119" s="66">
        <f>IF(AM113&lt;&gt;"Dim",IF(AM118&gt;32,MIN(AM118,35)-32,0),0)</f>
        <v>0</v>
      </c>
      <c r="AN119" s="66">
        <f>IF(AN113&lt;&gt;"Dim",IF(SUM($AM118:AN118)&gt;32,MIN(SUM($AM118:AN118),35)-32-SUM($AM119:AM119),0),0)</f>
        <v>0</v>
      </c>
      <c r="AO119" s="66">
        <f>IF(AO113&lt;&gt;"Dim",IF(SUM($AM118:AO118)&gt;32,MIN(SUM($AM118:AO118),35)-32-SUM($AM119:AN119),0),0)</f>
        <v>0</v>
      </c>
      <c r="AP119" s="66">
        <f>IF(AP113&lt;&gt;"Dim",IF(SUM($AM118:AP118)&gt;32,MIN(SUM($AM118:AP118),35)-32-SUM($AM119:AO119),0),0)</f>
        <v>0</v>
      </c>
      <c r="AQ119" s="66">
        <f>IF(AQ113&lt;&gt;"Dim",IF(SUM($AM118:AQ118)&gt;32,MIN(SUM($AM118:AQ118),35)-32-SUM($AM119:AP119),0),0)</f>
        <v>0</v>
      </c>
      <c r="AR119" s="66">
        <f>IF(AR113&lt;&gt;"Dim",IF(SUM($AM118:AR118)&gt;32,MIN(SUM($AM118:AR118),35)-32-SUM($AM119:AQ119),0),0)</f>
        <v>0</v>
      </c>
      <c r="AS119" s="66">
        <f>IF(AS113&lt;&gt;"Dim",IF(SUM($AM118:AS118)&gt;32,MIN(SUM($AM118:AS118),35)-32-SUM($AM119:AR119),0),0)</f>
        <v>0</v>
      </c>
      <c r="AT119" s="60">
        <f t="shared" si="284"/>
        <v>0</v>
      </c>
      <c r="AU119" s="60"/>
      <c r="AV119" s="66">
        <f>IF(AV113&lt;&gt;"Dim",IF(AV118&gt;32,MIN(AV118,35)-32,0),0)</f>
        <v>0</v>
      </c>
      <c r="AW119" s="66">
        <f>IF(AW113&lt;&gt;"Dim",IF(SUM($AV118:AW118)&gt;32,MIN(SUM($AV118:AW118),35)-32-SUM($AV119:AV119),0),0)</f>
        <v>0</v>
      </c>
      <c r="AX119" s="60">
        <f t="shared" si="274"/>
        <v>0</v>
      </c>
      <c r="AY119" s="60">
        <f t="shared" si="286"/>
        <v>0</v>
      </c>
    </row>
    <row r="120" spans="1:58" ht="15" customHeight="1" x14ac:dyDescent="0.25">
      <c r="A120" s="21" t="s">
        <v>6</v>
      </c>
      <c r="B120" s="81"/>
      <c r="C120" s="66">
        <f>IF(C113&lt;&gt;"Dim",IF(C118&gt;35,(MIN(C118,43)-35),0),0)</f>
        <v>0</v>
      </c>
      <c r="D120" s="66">
        <f>IF(D113&lt;&gt;"Dim",IF(SUM($C118:D118)&gt;35,(MIN(SUM($C118:D118),43)-35-SUM($C120:C120)),0),0)</f>
        <v>0</v>
      </c>
      <c r="E120" s="66">
        <f>IF(E113&lt;&gt;"Dim",IF(SUM($C118:E118)&gt;35,(MIN(SUM($C118:E118),43)-35-SUM($C120:D120)),0),0)</f>
        <v>0</v>
      </c>
      <c r="F120" s="66">
        <f>IF(F113&lt;&gt;"Dim",IF(SUM($C118:F118)&gt;35,(MIN(SUM($C118:F118),43)-35-SUM($C120:E120)),0),0)</f>
        <v>0</v>
      </c>
      <c r="G120" s="66">
        <f>IF(G113&lt;&gt;"Dim",IF(SUM($C118:G118)&gt;35,(MIN(SUM($C118:G118),43)-35-SUM($C120:F120)),0),0)</f>
        <v>0</v>
      </c>
      <c r="H120" s="66">
        <f>IF(H113&lt;&gt;"Dim",IF(SUM($C118:H118)&gt;35,(MIN(SUM($C118:H118),43)-35-SUM($C120:G120)),0),0)</f>
        <v>0</v>
      </c>
      <c r="I120" s="66">
        <f>IF(I113&lt;&gt;"Dim",IF(SUM($C118:I118)&gt;35,(MIN(SUM($C118:I118),43)-35-SUM($C120:H120)),0),0)</f>
        <v>0</v>
      </c>
      <c r="J120" s="60">
        <f t="shared" si="276"/>
        <v>0</v>
      </c>
      <c r="K120" s="60"/>
      <c r="L120" s="66">
        <f>IF(L113&lt;&gt;"Dim",IF(L118&gt;35,(MIN(L118,43)-35),0),0)</f>
        <v>0</v>
      </c>
      <c r="M120" s="66">
        <f>IF(M113&lt;&gt;"Dim",IF(SUM($L118:M118)&gt;35,(MIN(SUM($L118:M118),43)-35-SUM($L120:L120)),0),0)</f>
        <v>0</v>
      </c>
      <c r="N120" s="66">
        <f>IF(N113&lt;&gt;"Dim",IF(SUM($L118:N118)&gt;35,(MIN(SUM($L118:N118),43)-35-SUM($L120:M120)),0),0)</f>
        <v>0</v>
      </c>
      <c r="O120" s="66">
        <f>IF(O113&lt;&gt;"Dim",IF(SUM($L118:O118)&gt;35,(MIN(SUM($L118:O118),43)-35-SUM($L120:N120)),0),0)</f>
        <v>0</v>
      </c>
      <c r="P120" s="66">
        <f>IF(P113&lt;&gt;"Dim",IF(SUM($L118:P118)&gt;35,(MIN(SUM($L118:P118),43)-35-SUM($L120:O120)),0),0)</f>
        <v>0</v>
      </c>
      <c r="Q120" s="66">
        <f>IF(Q113&lt;&gt;"Dim",IF(SUM($L118:Q118)&gt;35,(MIN(SUM($L118:Q118),43)-35-SUM($L120:P120)),0),0)</f>
        <v>0</v>
      </c>
      <c r="R120" s="66">
        <f>IF(R113&lt;&gt;"Dim",IF(SUM($L118:R118)&gt;35,(MIN(SUM($L118:R118),43)-35-SUM($L120:Q120)),0),0)</f>
        <v>0</v>
      </c>
      <c r="S120" s="60">
        <f t="shared" si="278"/>
        <v>0</v>
      </c>
      <c r="T120" s="60"/>
      <c r="U120" s="66">
        <f>IF(U113&lt;&gt;"Dim",IF(U118&gt;35,(MIN(U118,43)-35),0),0)</f>
        <v>0</v>
      </c>
      <c r="V120" s="66">
        <f>IF(V113&lt;&gt;"Dim",IF(SUM($U118:V118)&gt;35,(MIN(SUM($U118:V118),43)-35-SUM($U120:U120)),0),0)</f>
        <v>0</v>
      </c>
      <c r="W120" s="66">
        <f>IF(W113&lt;&gt;"Dim",IF(SUM($U118:W118)&gt;35,(MIN(SUM($U118:W118),43)-35-SUM($U120:V120)),0),0)</f>
        <v>0</v>
      </c>
      <c r="X120" s="66">
        <f>IF(X113&lt;&gt;"Dim",IF(SUM($U118:X118)&gt;35,(MIN(SUM($U118:X118),43)-35-SUM($U120:W120)),0),0)</f>
        <v>0</v>
      </c>
      <c r="Y120" s="66">
        <f>IF(Y113&lt;&gt;"Dim",IF(SUM($U118:Y118)&gt;35,(MIN(SUM($U118:Y118),43)-35-SUM($U120:X120)),0),0)</f>
        <v>0</v>
      </c>
      <c r="Z120" s="66">
        <f>IF(Z113&lt;&gt;"Dim",IF(SUM($U118:Z118)&gt;35,(MIN(SUM($U118:Z118),43)-35-SUM($U120:Y120)),0),0)</f>
        <v>0</v>
      </c>
      <c r="AA120" s="66">
        <f>IF(AA113&lt;&gt;"Dim",IF(SUM($U118:AA118)&gt;35,(MIN(SUM($U118:AA118),43)-35-SUM($U120:Z120)),0),0)</f>
        <v>0</v>
      </c>
      <c r="AB120" s="60">
        <f t="shared" si="280"/>
        <v>0</v>
      </c>
      <c r="AC120" s="60"/>
      <c r="AD120" s="66">
        <f>IF(AD113&lt;&gt;"Dim",IF(AD118&gt;35,(MIN(AD118,43)-35),0),0)</f>
        <v>0</v>
      </c>
      <c r="AE120" s="66">
        <f>IF(AE113&lt;&gt;"Dim",IF(SUM($AD118:AE118)&gt;35,(MIN(SUM($AD118:AE118),43)-35-SUM($AD120:AD120)),0),0)</f>
        <v>0</v>
      </c>
      <c r="AF120" s="66">
        <f>IF(AF113&lt;&gt;"Dim",IF(SUM($AD118:AF118)&gt;35,(MIN(SUM($AD118:AF118),43)-35-SUM($AD120:AE120)),0),0)</f>
        <v>0</v>
      </c>
      <c r="AG120" s="66">
        <f>IF(AG113&lt;&gt;"Dim",IF(SUM($AD118:AG118)&gt;35,(MIN(SUM($AD118:AG118),43)-35-SUM($AD120:AF120)),0),0)</f>
        <v>0</v>
      </c>
      <c r="AH120" s="66">
        <f>IF(AH113&lt;&gt;"Dim",IF(SUM($AD118:AH118)&gt;35,(MIN(SUM($AD118:AH118),43)-35-SUM($AD120:AG120)),0),0)</f>
        <v>0</v>
      </c>
      <c r="AI120" s="66">
        <f>IF(AI113&lt;&gt;"Dim",IF(SUM($AD118:AI118)&gt;35,(MIN(SUM($AD118:AI118),43)-35-SUM($AD120:AH120)),0),0)</f>
        <v>0</v>
      </c>
      <c r="AJ120" s="66">
        <f>IF(AJ113&lt;&gt;"Dim",IF(SUM($AD118:AJ118)&gt;35,(MIN(SUM($AD118:AJ118),43)-35-SUM($AD120:AI120)),0),0)</f>
        <v>0</v>
      </c>
      <c r="AK120" s="60">
        <f t="shared" si="282"/>
        <v>0</v>
      </c>
      <c r="AL120" s="60"/>
      <c r="AM120" s="66">
        <f>IF(AM113&lt;&gt;"Dim",IF(AM118&gt;35,(MIN(AM118,43)-35),0),0)</f>
        <v>0</v>
      </c>
      <c r="AN120" s="66">
        <f>IF(AN113&lt;&gt;"Dim",IF(SUM($AM118:AN118)&gt;35,(MIN(SUM($AM118:AN118),43)-35-SUM($AM120:AM120)),0),0)</f>
        <v>0</v>
      </c>
      <c r="AO120" s="66">
        <f>IF(AO113&lt;&gt;"Dim",IF(SUM($AM118:AO118)&gt;35,(MIN(SUM($AM118:AO118),43)-35-SUM($AM120:AN120)),0),0)</f>
        <v>0</v>
      </c>
      <c r="AP120" s="66">
        <f>IF(AP113&lt;&gt;"Dim",IF(SUM($AM118:AP118)&gt;35,(MIN(SUM($AM118:AP118),43)-35-SUM($AM120:AO120)),0),0)</f>
        <v>0</v>
      </c>
      <c r="AQ120" s="66">
        <f>IF(AQ113&lt;&gt;"Dim",IF(SUM($AM118:AQ118)&gt;35,(MIN(SUM($AM118:AQ118),43)-35-SUM($AM120:AP120)),0),0)</f>
        <v>0</v>
      </c>
      <c r="AR120" s="66">
        <f>IF(AR113&lt;&gt;"Dim",IF(SUM($AM118:AR118)&gt;35,(MIN(SUM($AM118:AR118),43)-35-SUM($AM120:AQ120)),0),0)</f>
        <v>0</v>
      </c>
      <c r="AS120" s="66">
        <f>IF(AS113&lt;&gt;"Dim",IF(SUM($AM118:AS118)&gt;35,(MIN(SUM($AM118:AS118),43)-35-SUM($AM120:AR120)),0),0)</f>
        <v>0</v>
      </c>
      <c r="AT120" s="60">
        <f t="shared" si="284"/>
        <v>0</v>
      </c>
      <c r="AU120" s="60"/>
      <c r="AV120" s="66">
        <f>IF(AV113&lt;&gt;"Dim",IF(AV118&gt;35,(MIN(AV118,43)-35),0),0)</f>
        <v>0</v>
      </c>
      <c r="AW120" s="66">
        <f>IF(AW113&lt;&gt;"Dim",IF(SUM($AV118:AW118)&gt;35,(MIN(SUM($AV118:AW118),43)-35-SUM($AV120:AV120)),0),0)</f>
        <v>0</v>
      </c>
      <c r="AX120" s="60">
        <f t="shared" si="274"/>
        <v>0</v>
      </c>
      <c r="AY120" s="60">
        <f t="shared" si="286"/>
        <v>0</v>
      </c>
    </row>
    <row r="121" spans="1:58" ht="15" customHeight="1" x14ac:dyDescent="0.25">
      <c r="A121" s="21" t="s">
        <v>5</v>
      </c>
      <c r="B121" s="81"/>
      <c r="C121" s="66">
        <f>IF(C113&lt;&gt;"Dim",IF(C118&gt;43,(MIN(C118,48)-43),0),0)</f>
        <v>0</v>
      </c>
      <c r="D121" s="66">
        <f>IF(D113&lt;&gt;"Dim",IF(SUM($C118:D118)&gt;43,(MIN(SUM($C118:D118),48)-43-SUM($C121:C121)),0),0)</f>
        <v>0</v>
      </c>
      <c r="E121" s="66">
        <f>IF(E113&lt;&gt;"Dim",IF(SUM($C118:E118)&gt;43,(MIN(SUM($C118:E118),48)-43-SUM($C121:D121)),0),0)</f>
        <v>0</v>
      </c>
      <c r="F121" s="66">
        <f>IF(F113&lt;&gt;"Dim",IF(SUM($C118:F118)&gt;43,(MIN(SUM($C118:F118),48)-43-SUM($C121:E121)),0),0)</f>
        <v>0</v>
      </c>
      <c r="G121" s="66">
        <f>IF(G113&lt;&gt;"Dim",IF(SUM($C118:G118)&gt;43,(MIN(SUM($C118:G118),48)-43-SUM($C121:F121)),0),0)</f>
        <v>0</v>
      </c>
      <c r="H121" s="66">
        <f>IF(H113&lt;&gt;"Dim",IF(SUM($C118:H118)&gt;43,(MIN(SUM($C118:H118),48)-43-SUM($C121:G121)),0),0)</f>
        <v>0</v>
      </c>
      <c r="I121" s="66">
        <f>IF(I113&lt;&gt;"Dim",IF(SUM($C118:I118)&gt;43,(MIN(SUM($C118:I118),48)-43-SUM($C121:H121)),0),0)</f>
        <v>0</v>
      </c>
      <c r="J121" s="60">
        <f t="shared" si="276"/>
        <v>0</v>
      </c>
      <c r="K121" s="60"/>
      <c r="L121" s="66">
        <f>IF(L113&lt;&gt;"Dim",IF(L118&gt;43,(MIN(L118,48)-43),0),0)</f>
        <v>0</v>
      </c>
      <c r="M121" s="66">
        <f>IF(M113&lt;&gt;"Dim",IF(SUM($L118:M118)&gt;43,(MIN(SUM($L118:M118),48)-43-SUM($L121:L121)),0),0)</f>
        <v>0</v>
      </c>
      <c r="N121" s="66">
        <f>IF(N113&lt;&gt;"Dim",IF(SUM($L118:N118)&gt;43,(MIN(SUM($L118:N118),48)-43-SUM($L121:M121)),0),0)</f>
        <v>0</v>
      </c>
      <c r="O121" s="66">
        <f>IF(O113&lt;&gt;"Dim",IF(SUM($L118:O118)&gt;43,(MIN(SUM($L118:O118),48)-43-SUM($L121:N121)),0),0)</f>
        <v>0</v>
      </c>
      <c r="P121" s="66">
        <f>IF(P113&lt;&gt;"Dim",IF(SUM($L118:P118)&gt;43,(MIN(SUM($L118:P118),48)-43-SUM($L121:O121)),0),0)</f>
        <v>0</v>
      </c>
      <c r="Q121" s="66">
        <f>IF(Q113&lt;&gt;"Dim",IF(SUM($L118:Q118)&gt;43,(MIN(SUM($L118:Q118),48)-43-SUM($L121:P121)),0),0)</f>
        <v>0</v>
      </c>
      <c r="R121" s="66">
        <f>IF(R113&lt;&gt;"Dim",IF(SUM($L118:R118)&gt;43,(MIN(SUM($L118:R118),48)-43-SUM($L121:Q121)),0),0)</f>
        <v>0</v>
      </c>
      <c r="S121" s="60">
        <f t="shared" si="278"/>
        <v>0</v>
      </c>
      <c r="T121" s="60"/>
      <c r="U121" s="66">
        <f>IF(U113&lt;&gt;"Dim",IF(U118&gt;43,(MIN(U118,48)-43),0),0)</f>
        <v>0</v>
      </c>
      <c r="V121" s="66">
        <f>IF(V113&lt;&gt;"Dim",IF(SUM($U118:V118)&gt;43,(MIN(SUM($U118:V118),48)-43-SUM($U121:U121)),0),0)</f>
        <v>0</v>
      </c>
      <c r="W121" s="66">
        <f>IF(W113&lt;&gt;"Dim",IF(SUM($U118:W118)&gt;43,(MIN(SUM($U118:W118),48)-43-SUM($U121:V121)),0),0)</f>
        <v>0</v>
      </c>
      <c r="X121" s="66">
        <f>IF(X113&lt;&gt;"Dim",IF(SUM($U118:X118)&gt;43,(MIN(SUM($U118:X118),48)-43-SUM($U121:W121)),0),0)</f>
        <v>0</v>
      </c>
      <c r="Y121" s="66">
        <f>IF(Y113&lt;&gt;"Dim",IF(SUM($U118:Y118)&gt;43,(MIN(SUM($U118:Y118),48)-43-SUM($U121:X121)),0),0)</f>
        <v>0</v>
      </c>
      <c r="Z121" s="66">
        <f>IF(Z113&lt;&gt;"Dim",IF(SUM($U118:Z118)&gt;43,(MIN(SUM($U118:Z118),48)-43-SUM($U121:Y121)),0),0)</f>
        <v>0</v>
      </c>
      <c r="AA121" s="66">
        <f>IF(AA113&lt;&gt;"Dim",IF(SUM($U118:AA118)&gt;43,(MIN(SUM($U118:AA118),48)-43-SUM($U121:Z121)),0),0)</f>
        <v>0</v>
      </c>
      <c r="AB121" s="60">
        <f t="shared" si="280"/>
        <v>0</v>
      </c>
      <c r="AC121" s="60"/>
      <c r="AD121" s="66">
        <f>IF(AD113&lt;&gt;"Dim",IF(AD118&gt;43,(MIN(AD118,48)-43),0),0)</f>
        <v>0</v>
      </c>
      <c r="AE121" s="66">
        <f>IF(AE113&lt;&gt;"Dim",IF(SUM($AD118:AE118)&gt;43,(MIN(SUM($AD118:AE118),48)-43-SUM($AD121:AD121)),0),0)</f>
        <v>0</v>
      </c>
      <c r="AF121" s="66">
        <f>IF(AF113&lt;&gt;"Dim",IF(SUM($AD118:AF118)&gt;43,(MIN(SUM($AD118:AF118),48)-43-SUM($AD121:AE121)),0),0)</f>
        <v>0</v>
      </c>
      <c r="AG121" s="66">
        <f>IF(AG113&lt;&gt;"Dim",IF(SUM($AD118:AG118)&gt;43,(MIN(SUM($AD118:AG118),48)-43-SUM($AD121:AF121)),0),0)</f>
        <v>0</v>
      </c>
      <c r="AH121" s="66">
        <f>IF(AH113&lt;&gt;"Dim",IF(SUM($AD118:AH118)&gt;43,(MIN(SUM($AD118:AH118),48)-43-SUM($AD121:AG121)),0),0)</f>
        <v>0</v>
      </c>
      <c r="AI121" s="66">
        <f>IF(AI113&lt;&gt;"Dim",IF(SUM($AD118:AI118)&gt;43,(MIN(SUM($AD118:AI118),48)-43-SUM($AD121:AH121)),0),0)</f>
        <v>0</v>
      </c>
      <c r="AJ121" s="66">
        <f>IF(AJ113&lt;&gt;"Dim",IF(SUM($AD118:AJ118)&gt;43,(MIN(SUM($AD118:AJ118),48)-43-SUM($AD121:AI121)),0),0)</f>
        <v>0</v>
      </c>
      <c r="AK121" s="60">
        <f t="shared" si="282"/>
        <v>0</v>
      </c>
      <c r="AL121" s="60"/>
      <c r="AM121" s="66">
        <f>IF(AM113&lt;&gt;"Dim",IF(AM118&gt;43,(MIN(AM118,48)-43),0),0)</f>
        <v>0</v>
      </c>
      <c r="AN121" s="66">
        <f>IF(AN113&lt;&gt;"Dim",IF(SUM($AM118:AN118)&gt;43,(MIN(SUM($AM118:AN118),48)-43-SUM($AM121:AM121)),0),0)</f>
        <v>0</v>
      </c>
      <c r="AO121" s="66">
        <f>IF(AO113&lt;&gt;"Dim",IF(SUM($AM118:AO118)&gt;43,(MIN(SUM($AM118:AO118),48)-43-SUM($AM121:AN121)),0),0)</f>
        <v>0</v>
      </c>
      <c r="AP121" s="66">
        <f>IF(AP113&lt;&gt;"Dim",IF(SUM($AM118:AP118)&gt;43,(MIN(SUM($AM118:AP118),48)-43-SUM($AM121:AO121)),0),0)</f>
        <v>0</v>
      </c>
      <c r="AQ121" s="66">
        <f>IF(AQ113&lt;&gt;"Dim",IF(SUM($AM118:AQ118)&gt;43,(MIN(SUM($AM118:AQ118),48)-43-SUM($AM121:AP121)),0),0)</f>
        <v>0</v>
      </c>
      <c r="AR121" s="66">
        <f>IF(AR113&lt;&gt;"Dim",IF(SUM($AM118:AR118)&gt;43,(MIN(SUM($AM118:AR118),48)-43-SUM($AM121:AQ121)),0),0)</f>
        <v>0</v>
      </c>
      <c r="AS121" s="66">
        <f>IF(AS113&lt;&gt;"Dim",IF(SUM($AM118:AS118)&gt;43,(MIN(SUM($AM118:AS118),48)-43-SUM($AM121:AR121)),0),0)</f>
        <v>0</v>
      </c>
      <c r="AT121" s="60">
        <f t="shared" si="284"/>
        <v>0</v>
      </c>
      <c r="AU121" s="60"/>
      <c r="AV121" s="66">
        <f>IF(AV113&lt;&gt;"Dim",IF(AV118&gt;43,(MIN(AV118,48)-43),0),0)</f>
        <v>0</v>
      </c>
      <c r="AW121" s="66">
        <f>IF(AW113&lt;&gt;"Dim",IF(SUM($AV118:AW118)&gt;43,(MIN(SUM($AV118:AW118),48)-43-SUM($AV121:AV121)),0),0)</f>
        <v>0</v>
      </c>
      <c r="AX121" s="60">
        <f t="shared" si="274"/>
        <v>0</v>
      </c>
      <c r="AY121" s="60">
        <f t="shared" si="286"/>
        <v>0</v>
      </c>
    </row>
    <row r="122" spans="1:58" ht="15" customHeight="1" x14ac:dyDescent="0.25">
      <c r="A122" s="21" t="s">
        <v>7</v>
      </c>
      <c r="B122" s="81"/>
      <c r="C122" s="66">
        <f>IF(C113="Dim",C118,IF(C128="ferie",C118,0))</f>
        <v>0</v>
      </c>
      <c r="D122" s="66">
        <f t="shared" ref="D122:I122" si="293">IF(D113="Dim",D118,IF(D128="ferie",D118,0))</f>
        <v>0</v>
      </c>
      <c r="E122" s="66">
        <f t="shared" si="293"/>
        <v>0</v>
      </c>
      <c r="F122" s="66">
        <f t="shared" si="293"/>
        <v>0</v>
      </c>
      <c r="G122" s="66">
        <f t="shared" si="293"/>
        <v>0</v>
      </c>
      <c r="H122" s="66">
        <f t="shared" si="293"/>
        <v>0</v>
      </c>
      <c r="I122" s="66">
        <f t="shared" si="293"/>
        <v>0</v>
      </c>
      <c r="J122" s="60">
        <f t="shared" si="276"/>
        <v>0</v>
      </c>
      <c r="K122" s="60"/>
      <c r="L122" s="66">
        <f>IF(L113="Dim",L118,IF(L128="ferie",L118,0))</f>
        <v>0</v>
      </c>
      <c r="M122" s="66">
        <f t="shared" ref="M122:R122" si="294">IF(M113="Dim",M118,IF(M128="ferie",M118,0))</f>
        <v>0</v>
      </c>
      <c r="N122" s="66">
        <f t="shared" si="294"/>
        <v>0</v>
      </c>
      <c r="O122" s="66">
        <f t="shared" si="294"/>
        <v>0</v>
      </c>
      <c r="P122" s="66">
        <f t="shared" si="294"/>
        <v>0</v>
      </c>
      <c r="Q122" s="66">
        <f>IF(Q113="Dim",Q118,IF(Q128="ferie",Q118,0))</f>
        <v>0</v>
      </c>
      <c r="R122" s="66">
        <f t="shared" si="294"/>
        <v>0</v>
      </c>
      <c r="S122" s="60">
        <f t="shared" si="278"/>
        <v>0</v>
      </c>
      <c r="T122" s="60"/>
      <c r="U122" s="66">
        <f>IF(U113="Dim",U118,IF(U128="ferie",U118,0))</f>
        <v>0</v>
      </c>
      <c r="V122" s="66">
        <f t="shared" ref="V122:AA122" si="295">IF(V113="Dim",V118,IF(V128="ferie",V118,0))</f>
        <v>0</v>
      </c>
      <c r="W122" s="66">
        <f t="shared" si="295"/>
        <v>0</v>
      </c>
      <c r="X122" s="66">
        <f t="shared" si="295"/>
        <v>0</v>
      </c>
      <c r="Y122" s="66">
        <f t="shared" si="295"/>
        <v>0</v>
      </c>
      <c r="Z122" s="66">
        <f t="shared" si="295"/>
        <v>0</v>
      </c>
      <c r="AA122" s="66">
        <f t="shared" si="295"/>
        <v>0</v>
      </c>
      <c r="AB122" s="60">
        <f t="shared" si="280"/>
        <v>0</v>
      </c>
      <c r="AC122" s="60"/>
      <c r="AD122" s="66">
        <f>IF(AD113="Dim",AD118,IF(AD128="ferie",AD118,0))</f>
        <v>0</v>
      </c>
      <c r="AE122" s="66">
        <f t="shared" ref="AE122:AJ122" si="296">IF(AE113="Dim",AE118,IF(AE128="ferie",AE118,0))</f>
        <v>0</v>
      </c>
      <c r="AF122" s="66">
        <f t="shared" si="296"/>
        <v>0</v>
      </c>
      <c r="AG122" s="66">
        <f t="shared" si="296"/>
        <v>0</v>
      </c>
      <c r="AH122" s="66">
        <f t="shared" si="296"/>
        <v>0</v>
      </c>
      <c r="AI122" s="66">
        <f t="shared" si="296"/>
        <v>0</v>
      </c>
      <c r="AJ122" s="66">
        <f t="shared" si="296"/>
        <v>0</v>
      </c>
      <c r="AK122" s="60">
        <f t="shared" si="282"/>
        <v>0</v>
      </c>
      <c r="AL122" s="60"/>
      <c r="AM122" s="66">
        <f>IF(AM113="Dim",AM118,IF(AM128="ferie",AM118,0))</f>
        <v>0</v>
      </c>
      <c r="AN122" s="66">
        <f t="shared" ref="AN122:AW122" si="297">IF(AN113="Dim",AN118,IF(AN128="ferie",AN118,0))</f>
        <v>0</v>
      </c>
      <c r="AO122" s="66">
        <f t="shared" si="297"/>
        <v>0</v>
      </c>
      <c r="AP122" s="66">
        <f t="shared" si="297"/>
        <v>0</v>
      </c>
      <c r="AQ122" s="66">
        <f t="shared" si="297"/>
        <v>0</v>
      </c>
      <c r="AR122" s="66">
        <f t="shared" si="297"/>
        <v>0</v>
      </c>
      <c r="AS122" s="66">
        <f t="shared" si="297"/>
        <v>0</v>
      </c>
      <c r="AT122" s="60">
        <f>SUM(AM122:AS122)</f>
        <v>0</v>
      </c>
      <c r="AU122" s="60"/>
      <c r="AV122" s="66">
        <f>IF(AV113="Dim",AV118,IF(AV128="ferie",AV118,0))</f>
        <v>0</v>
      </c>
      <c r="AW122" s="66">
        <f t="shared" si="297"/>
        <v>0</v>
      </c>
      <c r="AX122" s="60">
        <f t="shared" si="274"/>
        <v>0</v>
      </c>
      <c r="AY122" s="60">
        <f t="shared" si="286"/>
        <v>0</v>
      </c>
    </row>
    <row r="123" spans="1:58" ht="15" customHeight="1" x14ac:dyDescent="0.25">
      <c r="A123" s="21" t="s">
        <v>8</v>
      </c>
      <c r="B123" s="81"/>
      <c r="C123" s="31"/>
      <c r="D123" s="31"/>
      <c r="E123" s="31"/>
      <c r="F123" s="31"/>
      <c r="G123" s="31"/>
      <c r="H123" s="31"/>
      <c r="I123" s="31"/>
      <c r="J123" s="60">
        <f t="shared" si="276"/>
        <v>0</v>
      </c>
      <c r="K123" s="60"/>
      <c r="L123" s="31"/>
      <c r="M123" s="31"/>
      <c r="N123" s="31"/>
      <c r="O123" s="31"/>
      <c r="P123" s="31"/>
      <c r="Q123" s="31"/>
      <c r="R123" s="31"/>
      <c r="S123" s="60">
        <f t="shared" si="278"/>
        <v>0</v>
      </c>
      <c r="T123" s="60"/>
      <c r="U123" s="31"/>
      <c r="V123" s="31"/>
      <c r="W123" s="31"/>
      <c r="X123" s="31"/>
      <c r="Y123" s="31"/>
      <c r="Z123" s="31"/>
      <c r="AA123" s="31"/>
      <c r="AB123" s="60">
        <f t="shared" si="280"/>
        <v>0</v>
      </c>
      <c r="AC123" s="60"/>
      <c r="AD123" s="31"/>
      <c r="AE123" s="31"/>
      <c r="AF123" s="31"/>
      <c r="AG123" s="31"/>
      <c r="AH123" s="31"/>
      <c r="AI123" s="31"/>
      <c r="AJ123" s="31"/>
      <c r="AK123" s="60">
        <f t="shared" si="282"/>
        <v>0</v>
      </c>
      <c r="AL123" s="60"/>
      <c r="AM123" s="31"/>
      <c r="AN123" s="31"/>
      <c r="AO123" s="31"/>
      <c r="AP123" s="31"/>
      <c r="AQ123" s="31"/>
      <c r="AR123" s="31"/>
      <c r="AS123" s="31"/>
      <c r="AT123" s="60">
        <f t="shared" si="284"/>
        <v>0</v>
      </c>
      <c r="AU123" s="60"/>
      <c r="AV123" s="31"/>
      <c r="AW123" s="31"/>
      <c r="AX123" s="60">
        <f t="shared" si="274"/>
        <v>0</v>
      </c>
      <c r="AY123" s="60">
        <f t="shared" si="286"/>
        <v>0</v>
      </c>
    </row>
    <row r="124" spans="1:58" ht="15" customHeight="1" x14ac:dyDescent="0.25">
      <c r="A124" s="36" t="s">
        <v>9</v>
      </c>
      <c r="B124" s="82"/>
      <c r="C124" s="31"/>
      <c r="D124" s="31"/>
      <c r="E124" s="31"/>
      <c r="F124" s="31"/>
      <c r="G124" s="31"/>
      <c r="H124" s="31"/>
      <c r="I124" s="31"/>
      <c r="J124" s="60">
        <f t="shared" si="276"/>
        <v>0</v>
      </c>
      <c r="K124" s="60"/>
      <c r="L124" s="31"/>
      <c r="M124" s="31"/>
      <c r="N124" s="31"/>
      <c r="O124" s="31"/>
      <c r="P124" s="31"/>
      <c r="Q124" s="31"/>
      <c r="R124" s="31"/>
      <c r="S124" s="60">
        <f t="shared" si="278"/>
        <v>0</v>
      </c>
      <c r="T124" s="60"/>
      <c r="U124" s="31"/>
      <c r="V124" s="31"/>
      <c r="W124" s="31"/>
      <c r="X124" s="31"/>
      <c r="Y124" s="31"/>
      <c r="Z124" s="31"/>
      <c r="AA124" s="31"/>
      <c r="AB124" s="60">
        <f t="shared" si="280"/>
        <v>0</v>
      </c>
      <c r="AC124" s="60"/>
      <c r="AD124" s="31"/>
      <c r="AE124" s="31"/>
      <c r="AF124" s="31"/>
      <c r="AG124" s="31"/>
      <c r="AH124" s="31"/>
      <c r="AI124" s="31"/>
      <c r="AJ124" s="31"/>
      <c r="AK124" s="60">
        <f t="shared" si="282"/>
        <v>0</v>
      </c>
      <c r="AL124" s="60"/>
      <c r="AM124" s="31"/>
      <c r="AN124" s="31"/>
      <c r="AO124" s="31"/>
      <c r="AP124" s="31"/>
      <c r="AQ124" s="31"/>
      <c r="AR124" s="31"/>
      <c r="AS124" s="31"/>
      <c r="AT124" s="60">
        <f t="shared" si="284"/>
        <v>0</v>
      </c>
      <c r="AU124" s="60"/>
      <c r="AV124" s="31"/>
      <c r="AW124" s="31"/>
      <c r="AX124" s="60">
        <f t="shared" ref="AX124:AX126" si="298">SUM(AV124:AW124)</f>
        <v>0</v>
      </c>
      <c r="AY124" s="60">
        <f t="shared" si="286"/>
        <v>0</v>
      </c>
    </row>
    <row r="125" spans="1:58" ht="15" customHeight="1" x14ac:dyDescent="0.25">
      <c r="A125" s="21" t="s">
        <v>11</v>
      </c>
      <c r="B125" s="81"/>
      <c r="C125" s="31"/>
      <c r="D125" s="31"/>
      <c r="E125" s="31"/>
      <c r="F125" s="31"/>
      <c r="G125" s="31"/>
      <c r="H125" s="31"/>
      <c r="I125" s="31"/>
      <c r="J125" s="60">
        <f t="shared" si="276"/>
        <v>0</v>
      </c>
      <c r="K125" s="60"/>
      <c r="L125" s="31"/>
      <c r="M125" s="31"/>
      <c r="N125" s="31"/>
      <c r="O125" s="31"/>
      <c r="P125" s="31"/>
      <c r="Q125" s="31"/>
      <c r="R125" s="31"/>
      <c r="S125" s="60">
        <f t="shared" si="278"/>
        <v>0</v>
      </c>
      <c r="T125" s="60"/>
      <c r="U125" s="31"/>
      <c r="V125" s="31"/>
      <c r="W125" s="31"/>
      <c r="X125" s="31"/>
      <c r="Y125" s="31"/>
      <c r="Z125" s="31"/>
      <c r="AA125" s="31"/>
      <c r="AB125" s="60">
        <f t="shared" si="280"/>
        <v>0</v>
      </c>
      <c r="AC125" s="60"/>
      <c r="AD125" s="31"/>
      <c r="AE125" s="31"/>
      <c r="AF125" s="31"/>
      <c r="AG125" s="31"/>
      <c r="AH125" s="31"/>
      <c r="AI125" s="31"/>
      <c r="AJ125" s="31"/>
      <c r="AK125" s="60">
        <f t="shared" si="282"/>
        <v>0</v>
      </c>
      <c r="AL125" s="60"/>
      <c r="AM125" s="31"/>
      <c r="AN125" s="31"/>
      <c r="AO125" s="31"/>
      <c r="AP125" s="31"/>
      <c r="AQ125" s="31"/>
      <c r="AR125" s="31"/>
      <c r="AS125" s="31"/>
      <c r="AT125" s="60">
        <f t="shared" si="284"/>
        <v>0</v>
      </c>
      <c r="AU125" s="60"/>
      <c r="AV125" s="31"/>
      <c r="AW125" s="31"/>
      <c r="AX125" s="60">
        <f t="shared" si="298"/>
        <v>0</v>
      </c>
      <c r="AY125" s="60">
        <f t="shared" si="286"/>
        <v>0</v>
      </c>
    </row>
    <row r="126" spans="1:58" ht="15" customHeight="1" x14ac:dyDescent="0.25">
      <c r="A126" s="36" t="s">
        <v>10</v>
      </c>
      <c r="B126" s="82"/>
      <c r="C126" s="31"/>
      <c r="D126" s="31"/>
      <c r="E126" s="31"/>
      <c r="F126" s="31"/>
      <c r="G126" s="31"/>
      <c r="H126" s="31"/>
      <c r="I126" s="31"/>
      <c r="J126" s="60">
        <f t="shared" si="276"/>
        <v>0</v>
      </c>
      <c r="K126" s="60"/>
      <c r="L126" s="31"/>
      <c r="M126" s="31"/>
      <c r="N126" s="31"/>
      <c r="O126" s="31"/>
      <c r="P126" s="31"/>
      <c r="Q126" s="31"/>
      <c r="R126" s="31"/>
      <c r="S126" s="60">
        <f t="shared" si="278"/>
        <v>0</v>
      </c>
      <c r="T126" s="60"/>
      <c r="U126" s="31"/>
      <c r="V126" s="31"/>
      <c r="W126" s="31"/>
      <c r="X126" s="31"/>
      <c r="Y126" s="31"/>
      <c r="Z126" s="31"/>
      <c r="AA126" s="31"/>
      <c r="AB126" s="60">
        <f t="shared" si="280"/>
        <v>0</v>
      </c>
      <c r="AC126" s="60"/>
      <c r="AD126" s="31"/>
      <c r="AE126" s="31"/>
      <c r="AF126" s="31"/>
      <c r="AG126" s="31"/>
      <c r="AH126" s="31"/>
      <c r="AI126" s="31"/>
      <c r="AJ126" s="31"/>
      <c r="AK126" s="60">
        <f t="shared" si="282"/>
        <v>0</v>
      </c>
      <c r="AL126" s="60"/>
      <c r="AM126" s="31"/>
      <c r="AN126" s="31"/>
      <c r="AO126" s="31"/>
      <c r="AP126" s="31"/>
      <c r="AQ126" s="31"/>
      <c r="AR126" s="31"/>
      <c r="AS126" s="31"/>
      <c r="AT126" s="60">
        <f t="shared" si="284"/>
        <v>0</v>
      </c>
      <c r="AU126" s="60"/>
      <c r="AV126" s="31"/>
      <c r="AW126" s="31"/>
      <c r="AX126" s="60">
        <f t="shared" si="298"/>
        <v>0</v>
      </c>
      <c r="AY126" s="60">
        <f t="shared" si="286"/>
        <v>0</v>
      </c>
    </row>
    <row r="127" spans="1:58" s="33" customFormat="1" ht="15" customHeight="1" x14ac:dyDescent="0.25">
      <c r="A127" s="36" t="s">
        <v>44</v>
      </c>
      <c r="B127" s="82"/>
      <c r="C127" s="60">
        <f>IF(C115="nuit",C118*0.02,0)</f>
        <v>0</v>
      </c>
      <c r="D127" s="60">
        <f>IF(D115="nuit",D118*0.02,0)</f>
        <v>0</v>
      </c>
      <c r="E127" s="60">
        <f t="shared" ref="E127:I127" si="299">IF(E115="nuit",E118*0.02,0)</f>
        <v>0</v>
      </c>
      <c r="F127" s="60">
        <f t="shared" si="299"/>
        <v>0</v>
      </c>
      <c r="G127" s="60">
        <f>IF(G115="nuit",G118*0.02,0)</f>
        <v>0</v>
      </c>
      <c r="H127" s="60">
        <f t="shared" si="299"/>
        <v>0</v>
      </c>
      <c r="I127" s="60">
        <f t="shared" si="299"/>
        <v>0</v>
      </c>
      <c r="J127" s="60">
        <f t="shared" si="276"/>
        <v>0</v>
      </c>
      <c r="K127" s="60"/>
      <c r="L127" s="60">
        <f>IF(L115="nuit",L118*0.02,0)</f>
        <v>0</v>
      </c>
      <c r="M127" s="60">
        <f>IF(M115="nuit",M118*0.02,0)</f>
        <v>0</v>
      </c>
      <c r="N127" s="60">
        <f t="shared" ref="N127:R127" si="300">IF(N115="nuit",N118*0.02,0)</f>
        <v>0</v>
      </c>
      <c r="O127" s="60">
        <f t="shared" si="300"/>
        <v>0</v>
      </c>
      <c r="P127" s="60">
        <f>IF(P115="nuit",P118*0.02,0)</f>
        <v>0</v>
      </c>
      <c r="Q127" s="60">
        <f t="shared" si="300"/>
        <v>0</v>
      </c>
      <c r="R127" s="60">
        <f t="shared" si="300"/>
        <v>0</v>
      </c>
      <c r="S127" s="60">
        <f t="shared" si="278"/>
        <v>0</v>
      </c>
      <c r="T127" s="60"/>
      <c r="U127" s="60">
        <f>IF(U115="nuit",U118*0.02,0)</f>
        <v>0</v>
      </c>
      <c r="V127" s="60">
        <f>IF(V115="nuit",V118*0.02,0)</f>
        <v>0</v>
      </c>
      <c r="W127" s="60">
        <f t="shared" ref="W127:AA127" si="301">IF(W115="nuit",W118*0.02,0)</f>
        <v>0</v>
      </c>
      <c r="X127" s="60">
        <f t="shared" si="301"/>
        <v>0</v>
      </c>
      <c r="Y127" s="60">
        <f>IF(Y115="nuit",Y118*0.02,0)</f>
        <v>0</v>
      </c>
      <c r="Z127" s="60">
        <f t="shared" si="301"/>
        <v>0</v>
      </c>
      <c r="AA127" s="60">
        <f t="shared" si="301"/>
        <v>0</v>
      </c>
      <c r="AB127" s="60">
        <f t="shared" si="280"/>
        <v>0</v>
      </c>
      <c r="AC127" s="60"/>
      <c r="AD127" s="60">
        <f>IF(AD115="nuit",AD118*0.02,0)</f>
        <v>0</v>
      </c>
      <c r="AE127" s="60">
        <f>IF(AE115="nuit",AE118*0.02,0)</f>
        <v>0</v>
      </c>
      <c r="AF127" s="60">
        <f t="shared" ref="AF127:AJ127" si="302">IF(AF115="nuit",AF118*0.02,0)</f>
        <v>0</v>
      </c>
      <c r="AG127" s="60">
        <f t="shared" si="302"/>
        <v>0</v>
      </c>
      <c r="AH127" s="60">
        <f>IF(AH115="nuit",AH118*0.02,0)</f>
        <v>0</v>
      </c>
      <c r="AI127" s="60">
        <f t="shared" si="302"/>
        <v>0</v>
      </c>
      <c r="AJ127" s="60">
        <f t="shared" si="302"/>
        <v>0</v>
      </c>
      <c r="AK127" s="60">
        <f t="shared" si="282"/>
        <v>0</v>
      </c>
      <c r="AL127" s="60"/>
      <c r="AM127" s="60">
        <f>IF(AM115="nuit",AM118*0.02,0)</f>
        <v>0</v>
      </c>
      <c r="AN127" s="60">
        <f>IF(AN115="nuit",AN118*0.02,0)</f>
        <v>0</v>
      </c>
      <c r="AO127" s="60">
        <f t="shared" ref="AO127:AS127" si="303">IF(AO115="nuit",AO118*0.02,0)</f>
        <v>0</v>
      </c>
      <c r="AP127" s="60">
        <f t="shared" si="303"/>
        <v>0</v>
      </c>
      <c r="AQ127" s="60">
        <f>IF(AQ115="nuit",AQ118*0.02,0)</f>
        <v>0</v>
      </c>
      <c r="AR127" s="60">
        <f t="shared" si="303"/>
        <v>0</v>
      </c>
      <c r="AS127" s="60">
        <f t="shared" si="303"/>
        <v>0</v>
      </c>
      <c r="AT127" s="60">
        <f t="shared" si="284"/>
        <v>0</v>
      </c>
      <c r="AU127" s="60"/>
      <c r="AV127" s="60">
        <f>IF(AV115="nuit",AV118*0.02,0)</f>
        <v>0</v>
      </c>
      <c r="AW127" s="60">
        <f>IF(AW115="nuit",AW118*0.02,0)</f>
        <v>0</v>
      </c>
      <c r="AX127" s="60">
        <f>SUM(AV127:AW127)</f>
        <v>0</v>
      </c>
      <c r="AY127" s="60">
        <f>J127+S127+AB127+AK127+AT127+AX127</f>
        <v>0</v>
      </c>
      <c r="AZ127" s="52"/>
      <c r="BA127" s="52"/>
      <c r="BB127" s="52"/>
      <c r="BC127" s="52"/>
      <c r="BD127" s="52"/>
      <c r="BE127" s="52"/>
      <c r="BF127" s="35"/>
    </row>
    <row r="128" spans="1:58" ht="15" customHeight="1" x14ac:dyDescent="0.25">
      <c r="A128" s="21" t="s">
        <v>31</v>
      </c>
      <c r="B128" s="81"/>
      <c r="C128" s="31"/>
      <c r="D128" s="31"/>
      <c r="E128" s="31"/>
      <c r="F128" s="31"/>
      <c r="G128" s="31"/>
      <c r="H128" s="37"/>
      <c r="I128" s="37"/>
      <c r="J128" s="64"/>
      <c r="K128" s="64"/>
      <c r="L128" s="37"/>
      <c r="M128" s="37"/>
      <c r="N128" s="37"/>
      <c r="O128" s="37"/>
      <c r="P128" s="37"/>
      <c r="Q128" s="37"/>
      <c r="R128" s="37"/>
      <c r="S128" s="64"/>
      <c r="T128" s="64"/>
      <c r="U128" s="37"/>
      <c r="V128" s="37"/>
      <c r="W128" s="37"/>
      <c r="X128" s="37"/>
      <c r="Y128" s="37"/>
      <c r="Z128" s="37"/>
      <c r="AA128" s="37"/>
      <c r="AB128" s="64"/>
      <c r="AC128" s="64"/>
      <c r="AD128" s="37"/>
      <c r="AE128" s="37"/>
      <c r="AF128" s="37"/>
      <c r="AG128" s="37"/>
      <c r="AH128" s="37"/>
      <c r="AI128" s="37"/>
      <c r="AJ128" s="37"/>
      <c r="AK128" s="64"/>
      <c r="AL128" s="64"/>
      <c r="AM128" s="37"/>
      <c r="AN128" s="37"/>
      <c r="AO128" s="37"/>
      <c r="AP128" s="37"/>
      <c r="AQ128" s="37"/>
      <c r="AR128" s="37"/>
      <c r="AS128" s="37"/>
      <c r="AT128" s="64"/>
      <c r="AU128" s="64"/>
      <c r="AV128" s="37"/>
      <c r="AW128" s="37"/>
      <c r="AX128" s="64"/>
      <c r="AY128" s="65"/>
    </row>
    <row r="129" spans="1:53" ht="15" customHeight="1" x14ac:dyDescent="0.25">
      <c r="A129" s="38"/>
      <c r="B129" s="38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69"/>
    </row>
    <row r="130" spans="1:53" ht="27.6" x14ac:dyDescent="0.25">
      <c r="A130" s="21"/>
      <c r="B130" s="21"/>
      <c r="C130" s="24" t="s">
        <v>26</v>
      </c>
      <c r="D130" s="24"/>
      <c r="E130" s="24"/>
      <c r="F130" s="24"/>
      <c r="G130" s="24"/>
      <c r="H130" s="95">
        <f>Année_Calendaire</f>
        <v>2016</v>
      </c>
      <c r="I130" s="95"/>
      <c r="J130" s="49"/>
      <c r="K130" s="79"/>
      <c r="L130" s="31"/>
      <c r="M130" s="31"/>
      <c r="N130" s="31"/>
      <c r="O130" s="31"/>
      <c r="P130" s="31"/>
      <c r="Q130" s="31"/>
      <c r="R130" s="31"/>
      <c r="S130" s="49"/>
      <c r="T130" s="79"/>
      <c r="U130" s="24" t="s">
        <v>26</v>
      </c>
      <c r="V130" s="24"/>
      <c r="W130" s="24"/>
      <c r="X130" s="24"/>
      <c r="Y130" s="24"/>
      <c r="Z130" s="95">
        <f>Année_Calendaire</f>
        <v>2016</v>
      </c>
      <c r="AA130" s="95"/>
      <c r="AB130" s="49"/>
      <c r="AC130" s="79"/>
      <c r="AD130" s="31"/>
      <c r="AE130" s="31"/>
      <c r="AF130" s="31"/>
      <c r="AG130" s="31"/>
      <c r="AH130" s="31"/>
      <c r="AI130" s="31"/>
      <c r="AJ130" s="31"/>
      <c r="AK130" s="49"/>
      <c r="AL130" s="79"/>
      <c r="AM130" s="24" t="s">
        <v>26</v>
      </c>
      <c r="AN130" s="24"/>
      <c r="AO130" s="24"/>
      <c r="AP130" s="24"/>
      <c r="AQ130" s="24"/>
      <c r="AR130" s="95">
        <f>Année_Calendaire</f>
        <v>2016</v>
      </c>
      <c r="AS130" s="95"/>
      <c r="AT130" s="49"/>
      <c r="AU130" s="79"/>
      <c r="AV130" s="31"/>
      <c r="AW130" s="31"/>
      <c r="AX130" s="49"/>
    </row>
    <row r="131" spans="1:53" ht="29.25" customHeight="1" x14ac:dyDescent="0.25">
      <c r="A131" s="31"/>
      <c r="B131" s="31"/>
      <c r="C131" s="62" t="s">
        <v>13</v>
      </c>
      <c r="D131" s="62" t="s">
        <v>14</v>
      </c>
      <c r="E131" s="62" t="s">
        <v>15</v>
      </c>
      <c r="F131" s="62" t="s">
        <v>16</v>
      </c>
      <c r="G131" s="62" t="s">
        <v>17</v>
      </c>
      <c r="H131" s="62" t="s">
        <v>18</v>
      </c>
      <c r="I131" s="62" t="s">
        <v>19</v>
      </c>
      <c r="J131" s="96" t="s">
        <v>32</v>
      </c>
      <c r="K131" s="85"/>
      <c r="L131" s="62" t="s">
        <v>13</v>
      </c>
      <c r="M131" s="62" t="s">
        <v>14</v>
      </c>
      <c r="N131" s="62" t="s">
        <v>15</v>
      </c>
      <c r="O131" s="62" t="s">
        <v>16</v>
      </c>
      <c r="P131" s="62" t="s">
        <v>17</v>
      </c>
      <c r="Q131" s="62" t="s">
        <v>18</v>
      </c>
      <c r="R131" s="62" t="s">
        <v>19</v>
      </c>
      <c r="S131" s="96" t="s">
        <v>32</v>
      </c>
      <c r="T131" s="85"/>
      <c r="U131" s="62" t="s">
        <v>13</v>
      </c>
      <c r="V131" s="62" t="s">
        <v>14</v>
      </c>
      <c r="W131" s="62" t="s">
        <v>15</v>
      </c>
      <c r="X131" s="62" t="s">
        <v>16</v>
      </c>
      <c r="Y131" s="62" t="s">
        <v>17</v>
      </c>
      <c r="Z131" s="62" t="s">
        <v>18</v>
      </c>
      <c r="AA131" s="62" t="s">
        <v>19</v>
      </c>
      <c r="AB131" s="96" t="s">
        <v>32</v>
      </c>
      <c r="AC131" s="85"/>
      <c r="AD131" s="62" t="s">
        <v>13</v>
      </c>
      <c r="AE131" s="62" t="s">
        <v>14</v>
      </c>
      <c r="AF131" s="62" t="s">
        <v>15</v>
      </c>
      <c r="AG131" s="62" t="s">
        <v>16</v>
      </c>
      <c r="AH131" s="62" t="s">
        <v>17</v>
      </c>
      <c r="AI131" s="62" t="s">
        <v>18</v>
      </c>
      <c r="AJ131" s="62" t="s">
        <v>19</v>
      </c>
      <c r="AK131" s="96" t="s">
        <v>32</v>
      </c>
      <c r="AL131" s="85"/>
      <c r="AM131" s="62" t="s">
        <v>13</v>
      </c>
      <c r="AN131" s="62" t="s">
        <v>14</v>
      </c>
      <c r="AO131" s="62" t="s">
        <v>15</v>
      </c>
      <c r="AP131" s="62" t="s">
        <v>16</v>
      </c>
      <c r="AQ131" s="62" t="s">
        <v>17</v>
      </c>
      <c r="AR131" s="62" t="s">
        <v>18</v>
      </c>
      <c r="AS131" s="62" t="s">
        <v>19</v>
      </c>
      <c r="AT131" s="96" t="s">
        <v>32</v>
      </c>
      <c r="AU131" s="85" t="s">
        <v>79</v>
      </c>
      <c r="AV131" s="62" t="s">
        <v>13</v>
      </c>
      <c r="AW131" s="62" t="s">
        <v>14</v>
      </c>
      <c r="AX131" s="96" t="s">
        <v>32</v>
      </c>
      <c r="AY131" s="96" t="s">
        <v>35</v>
      </c>
      <c r="AZ131" s="97">
        <f>AY138+AY139+AY140</f>
        <v>0</v>
      </c>
      <c r="BA131" s="97">
        <f>AZ131+BA113</f>
        <v>10</v>
      </c>
    </row>
    <row r="132" spans="1:53" ht="15" customHeight="1" x14ac:dyDescent="0.25">
      <c r="A132" s="48"/>
      <c r="B132" s="83"/>
      <c r="C132" s="67">
        <f>IF(DAY(Aoû_Dim1)=1,"",IF(AND(YEAR(Aoû_Dim1+1)=Année_Calendaire,MONTH(Aoû_Dim1+1)=8),Aoû_Dim1+1,""))</f>
        <v>42583</v>
      </c>
      <c r="D132" s="67">
        <f>IF(DAY(Aoû_Dim1)=1,"",IF(AND(YEAR(Aoû_Dim1+2)=Année_Calendaire,MONTH(Aoû_Dim1+2)=8),Aoû_Dim1+2,""))</f>
        <v>42584</v>
      </c>
      <c r="E132" s="67">
        <f>IF(DAY(Aoû_Dim1)=1,"",IF(AND(YEAR(Aoû_Dim1+3)=Année_Calendaire,MONTH(Aoû_Dim1+3)=8),Aoû_Dim1+3,""))</f>
        <v>42585</v>
      </c>
      <c r="F132" s="67">
        <f>IF(DAY(Aoû_Dim1)=1,"",IF(AND(YEAR(Aoû_Dim1+4)=Année_Calendaire,MONTH(Aoû_Dim1+4)=8),Aoû_Dim1+4,""))</f>
        <v>42586</v>
      </c>
      <c r="G132" s="67">
        <f>IF(DAY(Aoû_Dim1)=1,"",IF(AND(YEAR(Aoû_Dim1+5)=Année_Calendaire,MONTH(Aoû_Dim1+5)=8),Aoû_Dim1+5,""))</f>
        <v>42587</v>
      </c>
      <c r="H132" s="67">
        <f>IF(DAY(Aoû_Dim1)=1,"",IF(AND(YEAR(Aoû_Dim1+6)=Année_Calendaire,MONTH(Aoû_Dim1+6)=8),Aoû_Dim1+6,""))</f>
        <v>42588</v>
      </c>
      <c r="I132" s="67">
        <f>IF(DAY(Aoû_Dim1)=1,IF(AND(YEAR(Aoû_Dim1)=Année_Calendaire,MONTH(Aoû_Dim1)=8),Aoû_Dim1,""),IF(AND(YEAR(Aoû_Dim1+7)=Année_Calendaire,MONTH(Aoû_Dim1+7)=8),Aoû_Dim1+7,""))</f>
        <v>42589</v>
      </c>
      <c r="J132" s="96"/>
      <c r="K132" s="78"/>
      <c r="L132" s="67">
        <f>IF(DAY(Aoû_Dim1)=1,IF(AND(YEAR(Aoû_Dim1+1)=Année_Calendaire,MONTH(Aoû_Dim1+1)=8),Aoû_Dim1+1,""),IF(AND(YEAR(Aoû_Dim1+8)=Année_Calendaire,MONTH(Aoû_Dim1+8)=8),Aoû_Dim1+8,""))</f>
        <v>42590</v>
      </c>
      <c r="M132" s="67">
        <f>IF(DAY(Aoû_Dim1)=1,IF(AND(YEAR(Aoû_Dim1+2)=Année_Calendaire,MONTH(Aoû_Dim1+2)=8),Aoû_Dim1+2,""),IF(AND(YEAR(Aoû_Dim1+9)=Année_Calendaire,MONTH(Aoû_Dim1+9)=8),Aoû_Dim1+9,""))</f>
        <v>42591</v>
      </c>
      <c r="N132" s="67">
        <f>IF(DAY(Aoû_Dim1)=1,IF(AND(YEAR(Aoû_Dim1+3)=Année_Calendaire,MONTH(Aoû_Dim1+3)=8),Aoû_Dim1+3,""),IF(AND(YEAR(Aoû_Dim1+10)=Année_Calendaire,MONTH(Aoû_Dim1+10)=8),Aoû_Dim1+10,""))</f>
        <v>42592</v>
      </c>
      <c r="O132" s="67">
        <f>IF(DAY(Aoû_Dim1)=1,IF(AND(YEAR(Aoû_Dim1+4)=Année_Calendaire,MONTH(Aoû_Dim1+4)=8),Aoû_Dim1+4,""),IF(AND(YEAR(Aoû_Dim1+11)=Année_Calendaire,MONTH(Aoû_Dim1+11)=8),Aoû_Dim1+11,""))</f>
        <v>42593</v>
      </c>
      <c r="P132" s="67">
        <f>IF(DAY(Aoû_Dim1)=1,IF(AND(YEAR(Aoû_Dim1+5)=Année_Calendaire,MONTH(Aoû_Dim1+5)=8),Aoû_Dim1+5,""),IF(AND(YEAR(Aoû_Dim1+12)=Année_Calendaire,MONTH(Aoû_Dim1+12)=8),Aoû_Dim1+12,""))</f>
        <v>42594</v>
      </c>
      <c r="Q132" s="67">
        <f>IF(DAY(Aoû_Dim1)=1,IF(AND(YEAR(Aoû_Dim1+6)=Année_Calendaire,MONTH(Aoû_Dim1+6)=8),Aoû_Dim1+6,""),IF(AND(YEAR(Aoû_Dim1+13)=Année_Calendaire,MONTH(Aoû_Dim1+13)=8),Aoû_Dim1+13,""))</f>
        <v>42595</v>
      </c>
      <c r="R132" s="67">
        <f>IF(DAY(Aoû_Dim1)=1,IF(AND(YEAR(Aoû_Dim1+7)=Année_Calendaire,MONTH(Aoû_Dim1+7)=8),Aoû_Dim1+7,""),IF(AND(YEAR(Aoû_Dim1+14)=Année_Calendaire,MONTH(Aoû_Dim1+14)=8),Aoû_Dim1+14,""))</f>
        <v>42596</v>
      </c>
      <c r="S132" s="96"/>
      <c r="T132" s="78"/>
      <c r="U132" s="67">
        <f>IF(DAY(Aoû_Dim1)=1,IF(AND(YEAR(Aoû_Dim1+8)=Année_Calendaire,MONTH(Aoû_Dim1+8)=8),Aoû_Dim1+8,""),IF(AND(YEAR(Aoû_Dim1+15)=Année_Calendaire,MONTH(Aoû_Dim1+15)=8),Aoû_Dim1+15,""))</f>
        <v>42597</v>
      </c>
      <c r="V132" s="67">
        <f>IF(DAY(Aoû_Dim1)=1,IF(AND(YEAR(Aoû_Dim1+9)=Année_Calendaire,MONTH(Aoû_Dim1+9)=8),Aoû_Dim1+9,""),IF(AND(YEAR(Aoû_Dim1+16)=Année_Calendaire,MONTH(Aoû_Dim1+16)=8),Aoû_Dim1+16,""))</f>
        <v>42598</v>
      </c>
      <c r="W132" s="67">
        <f>IF(DAY(Aoû_Dim1)=1,IF(AND(YEAR(Aoû_Dim1+10)=Année_Calendaire,MONTH(Aoû_Dim1+10)=8),Aoû_Dim1+10,""),IF(AND(YEAR(Aoû_Dim1+17)=Année_Calendaire,MONTH(Aoû_Dim1+17)=8),Aoû_Dim1+17,""))</f>
        <v>42599</v>
      </c>
      <c r="X132" s="67">
        <f>IF(DAY(Aoû_Dim1)=1,IF(AND(YEAR(Aoû_Dim1+11)=Année_Calendaire,MONTH(Aoû_Dim1+11)=8),Aoû_Dim1+11,""),IF(AND(YEAR(Aoû_Dim1+18)=Année_Calendaire,MONTH(Aoû_Dim1+18)=8),Aoû_Dim1+18,""))</f>
        <v>42600</v>
      </c>
      <c r="Y132" s="67">
        <f>IF(DAY(Aoû_Dim1)=1,IF(AND(YEAR(Aoû_Dim1+12)=Année_Calendaire,MONTH(Aoû_Dim1+12)=8),Aoû_Dim1+12,""),IF(AND(YEAR(Aoû_Dim1+19)=Année_Calendaire,MONTH(Aoû_Dim1+19)=8),Aoû_Dim1+19,""))</f>
        <v>42601</v>
      </c>
      <c r="Z132" s="67">
        <f>IF(DAY(Aoû_Dim1)=1,IF(AND(YEAR(Aoû_Dim1+13)=Année_Calendaire,MONTH(Aoû_Dim1+13)=8),Aoû_Dim1+13,""),IF(AND(YEAR(Aoû_Dim1+20)=Année_Calendaire,MONTH(Aoû_Dim1+20)=8),Aoû_Dim1+20,""))</f>
        <v>42602</v>
      </c>
      <c r="AA132" s="67">
        <f>IF(DAY(Aoû_Dim1)=1,IF(AND(YEAR(Aoû_Dim1+14)=Année_Calendaire,MONTH(Aoû_Dim1+14)=8),Aoû_Dim1+14,""),IF(AND(YEAR(Aoû_Dim1+21)=Année_Calendaire,MONTH(Aoû_Dim1+21)=8),Aoû_Dim1+21,""))</f>
        <v>42603</v>
      </c>
      <c r="AB132" s="96"/>
      <c r="AC132" s="78"/>
      <c r="AD132" s="67">
        <f>IF(DAY(Aoû_Dim1)=1,IF(AND(YEAR(Aoû_Dim1+15)=Année_Calendaire,MONTH(Aoû_Dim1+15)=8),Aoû_Dim1+15,""),IF(AND(YEAR(Aoû_Dim1+22)=Année_Calendaire,MONTH(Aoû_Dim1+22)=8),Aoû_Dim1+22,""))</f>
        <v>42604</v>
      </c>
      <c r="AE132" s="67">
        <f>IF(DAY(Aoû_Dim1)=1,IF(AND(YEAR(Aoû_Dim1+16)=Année_Calendaire,MONTH(Aoû_Dim1+16)=8),Aoû_Dim1+16,""),IF(AND(YEAR(Aoû_Dim1+23)=Année_Calendaire,MONTH(Aoû_Dim1+23)=8),Aoû_Dim1+23,""))</f>
        <v>42605</v>
      </c>
      <c r="AF132" s="67">
        <f>IF(DAY(Aoû_Dim1)=1,IF(AND(YEAR(Aoû_Dim1+17)=Année_Calendaire,MONTH(Aoû_Dim1+17)=8),Aoû_Dim1+17,""),IF(AND(YEAR(Aoû_Dim1+24)=Année_Calendaire,MONTH(Aoû_Dim1+24)=8),Aoû_Dim1+24,""))</f>
        <v>42606</v>
      </c>
      <c r="AG132" s="67">
        <f>IF(DAY(Aoû_Dim1)=1,IF(AND(YEAR(Aoû_Dim1+18)=Année_Calendaire,MONTH(Aoû_Dim1+18)=8),Aoû_Dim1+18,""),IF(AND(YEAR(Aoû_Dim1+25)=Année_Calendaire,MONTH(Aoû_Dim1+25)=8),Aoû_Dim1+25,""))</f>
        <v>42607</v>
      </c>
      <c r="AH132" s="67">
        <f>IF(DAY(Aoû_Dim1)=1,IF(AND(YEAR(Aoû_Dim1+19)=Année_Calendaire,MONTH(Aoû_Dim1+19)=8),Aoû_Dim1+19,""),IF(AND(YEAR(Aoû_Dim1+26)=Année_Calendaire,MONTH(Aoû_Dim1+26)=8),Aoû_Dim1+26,""))</f>
        <v>42608</v>
      </c>
      <c r="AI132" s="67">
        <f>IF(DAY(Aoû_Dim1)=1,IF(AND(YEAR(Aoû_Dim1+20)=Année_Calendaire,MONTH(Aoû_Dim1+20)=8),Aoû_Dim1+20,""),IF(AND(YEAR(Aoû_Dim1+27)=Année_Calendaire,MONTH(Aoû_Dim1+27)=8),Aoû_Dim1+27,""))</f>
        <v>42609</v>
      </c>
      <c r="AJ132" s="67">
        <f>IF(DAY(Aoû_Dim1)=1,IF(AND(YEAR(Aoû_Dim1+21)=Année_Calendaire,MONTH(Aoû_Dim1+21)=8),Aoû_Dim1+21,""),IF(AND(YEAR(Aoû_Dim1+28)=Année_Calendaire,MONTH(Aoû_Dim1+28)=8),Aoû_Dim1+28,""))</f>
        <v>42610</v>
      </c>
      <c r="AK132" s="96"/>
      <c r="AL132" s="78"/>
      <c r="AM132" s="67">
        <f>IF(DAY(Aoû_Dim1)=1,IF(AND(YEAR(Aoû_Dim1+22)=Année_Calendaire,MONTH(Aoû_Dim1+22)=8),Aoû_Dim1+22,""),IF(AND(YEAR(Aoû_Dim1+29)=Année_Calendaire,MONTH(Aoû_Dim1+29)=8),Aoû_Dim1+29,""))</f>
        <v>42611</v>
      </c>
      <c r="AN132" s="67">
        <f>IF(DAY(Aoû_Dim1)=1,IF(AND(YEAR(Aoû_Dim1+23)=Année_Calendaire,MONTH(Aoû_Dim1+23)=8),Aoû_Dim1+23,""),IF(AND(YEAR(Aoû_Dim1+30)=Année_Calendaire,MONTH(Aoû_Dim1+30)=8),Aoû_Dim1+30,""))</f>
        <v>42612</v>
      </c>
      <c r="AO132" s="67">
        <f>IF(DAY(Aoû_Dim1)=1,IF(AND(YEAR(Aoû_Dim1+24)=Année_Calendaire,MONTH(Aoû_Dim1+24)=8),Aoû_Dim1+24,""),IF(AND(YEAR(Aoû_Dim1+31)=Année_Calendaire,MONTH(Aoû_Dim1+31)=8),Aoû_Dim1+31,""))</f>
        <v>42613</v>
      </c>
      <c r="AP132" s="67" t="str">
        <f>IF(DAY(Aoû_Dim1)=1,IF(AND(YEAR(Aoû_Dim1+25)=Année_Calendaire,MONTH(Aoû_Dim1+25)=8),Aoû_Dim1+25,""),IF(AND(YEAR(Aoû_Dim1+32)=Année_Calendaire,MONTH(Aoû_Dim1+32)=8),Aoû_Dim1+32,""))</f>
        <v/>
      </c>
      <c r="AQ132" s="67" t="str">
        <f>IF(DAY(Aoû_Dim1)=1,IF(AND(YEAR(Aoû_Dim1+26)=Année_Calendaire,MONTH(Aoû_Dim1+26)=8),Aoû_Dim1+26,""),IF(AND(YEAR(Aoû_Dim1+33)=Année_Calendaire,MONTH(Aoû_Dim1+33)=8),Aoû_Dim1+33,""))</f>
        <v/>
      </c>
      <c r="AR132" s="67" t="str">
        <f>IF(DAY(Aoû_Dim1)=1,IF(AND(YEAR(Aoû_Dim1+27)=Année_Calendaire,MONTH(Aoû_Dim1+27)=8),Aoû_Dim1+27,""),IF(AND(YEAR(Aoû_Dim1+34)=Année_Calendaire,MONTH(Aoû_Dim1+34)=8),Aoû_Dim1+34,""))</f>
        <v/>
      </c>
      <c r="AS132" s="67" t="str">
        <f>IF(DAY(Aoû_Dim1)=1,IF(AND(YEAR(Aoû_Dim1+28)=Année_Calendaire,MONTH(Aoû_Dim1+28)=8),Aoû_Dim1+28,""),IF(AND(YEAR(Aoû_Dim1+35)=Année_Calendaire,MONTH(Aoû_Dim1+35)=8),Aoû_Dim1+35,""))</f>
        <v/>
      </c>
      <c r="AT132" s="96"/>
      <c r="AU132" s="78"/>
      <c r="AV132" s="61" t="str">
        <f>IF(DAY(Aoû_Dim1)=1,IF(AND(YEAR(Aoû_Dim1+29)=Année_Calendaire,MONTH(Aoû_Dim1+29)=8),Aoû_Dim1+29,""),IF(AND(YEAR(Aoû_Dim1+36)=Année_Calendaire,MONTH(Aoû_Dim1+36)=8),Aoû_Dim1+36,""))</f>
        <v/>
      </c>
      <c r="AW132" s="61" t="str">
        <f>IF(DAY(Aoû_Dim1)=1,IF(AND(YEAR(Aoû_Dim1+30)=Année_Calendaire,MONTH(Aoû_Dim1+30)=8),Aoû_Dim1+30,""),IF(AND(YEAR(Aoû_Dim1+37)=Année_Calendaire,MONTH(Aoû_Dim1+37)=8),Aoû_Dim1+37,""))</f>
        <v/>
      </c>
      <c r="AX132" s="96"/>
      <c r="AY132" s="96"/>
      <c r="AZ132" s="97"/>
      <c r="BA132" s="97"/>
    </row>
    <row r="133" spans="1:53" ht="15" customHeight="1" x14ac:dyDescent="0.25">
      <c r="A133" s="21" t="s">
        <v>2</v>
      </c>
      <c r="B133" s="81"/>
      <c r="C133" s="60">
        <f>IFERROR(VLOOKUP(B131,DATA!$A:$H,2,TRUE),0)</f>
        <v>0</v>
      </c>
      <c r="D133" s="60">
        <f>IFERROR(VLOOKUP(B131,DATA!$A:$H,3,TRUE),0)</f>
        <v>0</v>
      </c>
      <c r="E133" s="60">
        <f>IFERROR(VLOOKUP(B131,DATA!$A:$H,4,TRUE),0)</f>
        <v>0</v>
      </c>
      <c r="F133" s="60">
        <f>IFERROR(VLOOKUP(B131,DATA!$A:$H,5,TRUE),0)</f>
        <v>0</v>
      </c>
      <c r="G133" s="60">
        <f>IFERROR(VLOOKUP(B131,DATA!$A:$H,6,TRUE),0)</f>
        <v>0</v>
      </c>
      <c r="H133" s="60">
        <f>IFERROR(VLOOKUP(B131,DATA!$A:$H,7,TRUE),0)</f>
        <v>0</v>
      </c>
      <c r="I133" s="60">
        <f>IFERROR(VLOOKUP(B131,DATA!$A:$H,8,TRUE),0)</f>
        <v>0</v>
      </c>
      <c r="J133" s="60"/>
      <c r="K133" s="60"/>
      <c r="L133" s="60">
        <f>IFERROR(VLOOKUP(K131,DATA!$A:$H,2,TRUE),0)</f>
        <v>0</v>
      </c>
      <c r="M133" s="60">
        <f>IFERROR(VLOOKUP(K131,DATA!$A:$H,3,TRUE),0)</f>
        <v>0</v>
      </c>
      <c r="N133" s="60">
        <f>IFERROR(VLOOKUP(K131,DATA!$A:$H,4,TRUE),0)</f>
        <v>0</v>
      </c>
      <c r="O133" s="60">
        <f>IFERROR(VLOOKUP(K131,DATA!$A:$H,5,TRUE),0)</f>
        <v>0</v>
      </c>
      <c r="P133" s="60">
        <f>IFERROR(VLOOKUP(K131,DATA!$A:$H,6,TRUE),0)</f>
        <v>0</v>
      </c>
      <c r="Q133" s="60">
        <f>IFERROR(VLOOKUP(K131,DATA!$A:$H,7,TRUE),0)</f>
        <v>0</v>
      </c>
      <c r="R133" s="60">
        <f>IFERROR(VLOOKUP(K131,DATA!$A:$H,8,TRUE),0)</f>
        <v>0</v>
      </c>
      <c r="S133" s="60"/>
      <c r="T133" s="60"/>
      <c r="U133" s="60">
        <f>IFERROR(VLOOKUP(T131,DATA!$A:$H,2,TRUE),0)</f>
        <v>0</v>
      </c>
      <c r="V133" s="60">
        <f>IFERROR(VLOOKUP(T131,DATA!$A:$H,3,TRUE),0)</f>
        <v>0</v>
      </c>
      <c r="W133" s="60">
        <f>IFERROR(VLOOKUP(T131,DATA!$A:$H,4,TRUE),0)</f>
        <v>0</v>
      </c>
      <c r="X133" s="60">
        <f>IFERROR(VLOOKUP(T131,DATA!$A:$H,5,TRUE),0)</f>
        <v>0</v>
      </c>
      <c r="Y133" s="60">
        <f>IFERROR(VLOOKUP(T131,DATA!$A:$H,6,TRUE),0)</f>
        <v>0</v>
      </c>
      <c r="Z133" s="60">
        <f>IFERROR(VLOOKUP(T131,DATA!$A:$H,7,TRUE),0)</f>
        <v>0</v>
      </c>
      <c r="AA133" s="60">
        <f>IFERROR(VLOOKUP(T131,DATA!$A:$H,8,TRUE),0)</f>
        <v>0</v>
      </c>
      <c r="AB133" s="60"/>
      <c r="AC133" s="60"/>
      <c r="AD133" s="60">
        <f>IFERROR(VLOOKUP(AC131,DATA!$A:$H,2,TRUE),0)</f>
        <v>0</v>
      </c>
      <c r="AE133" s="60">
        <f>IFERROR(VLOOKUP(AC131,DATA!$A:$H,3,TRUE),0)</f>
        <v>0</v>
      </c>
      <c r="AF133" s="60">
        <f>IFERROR(VLOOKUP(AC131,DATA!$A:$H,4,TRUE),0)</f>
        <v>0</v>
      </c>
      <c r="AG133" s="60">
        <f>IFERROR(VLOOKUP(AC131,DATA!$A:$H,5,TRUE),0)</f>
        <v>0</v>
      </c>
      <c r="AH133" s="60">
        <f>IFERROR(VLOOKUP(AC131,DATA!$A:$H,6,TRUE),0)</f>
        <v>0</v>
      </c>
      <c r="AI133" s="60">
        <f>IFERROR(VLOOKUP(AC131,DATA!$A:$H,7,TRUE),0)</f>
        <v>0</v>
      </c>
      <c r="AJ133" s="60">
        <f>IFERROR(VLOOKUP(AC131,DATA!$A:$H,8,TRUE),0)</f>
        <v>0</v>
      </c>
      <c r="AK133" s="60"/>
      <c r="AL133" s="60"/>
      <c r="AM133" s="60">
        <f>IFERROR(VLOOKUP(AL131,DATA!$A:$H,2,TRUE),0)</f>
        <v>0</v>
      </c>
      <c r="AN133" s="60">
        <f>IFERROR(VLOOKUP(AL131,DATA!$A:$H,3,TRUE),0)</f>
        <v>0</v>
      </c>
      <c r="AO133" s="60">
        <f>IFERROR(VLOOKUP(AL131,DATA!$A:$H,4,TRUE),0)</f>
        <v>0</v>
      </c>
      <c r="AP133" s="60">
        <f>IFERROR(VLOOKUP(AL131,DATA!$A:$H,5,TRUE),0)</f>
        <v>0</v>
      </c>
      <c r="AQ133" s="60">
        <f>IFERROR(VLOOKUP(AL131,DATA!$A:$H,6,TRUE),0)</f>
        <v>0</v>
      </c>
      <c r="AR133" s="60">
        <f>IFERROR(VLOOKUP(AL131,DATA!$A:$H,7,TRUE),0)</f>
        <v>0</v>
      </c>
      <c r="AS133" s="60">
        <f>IFERROR(VLOOKUP(AL131,DATA!$A:$H,8,TRUE),0)</f>
        <v>0</v>
      </c>
      <c r="AT133" s="60"/>
      <c r="AU133" s="60"/>
      <c r="AV133" s="60" t="str">
        <f>IFERROR(VLOOKUP(AU131,DATA!$A:$H,2,TRUE),0)</f>
        <v>matin</v>
      </c>
      <c r="AW133" s="60">
        <f>IFERROR(VLOOKUP(AU131,DATA!$A:$H,3,TRUE),0)</f>
        <v>0</v>
      </c>
      <c r="AX133" s="60"/>
      <c r="AY133" s="63"/>
    </row>
    <row r="134" spans="1:53" ht="15" customHeight="1" x14ac:dyDescent="0.25">
      <c r="A134" s="21" t="s">
        <v>12</v>
      </c>
      <c r="B134" s="81"/>
      <c r="C134" s="60">
        <f t="shared" ref="C134:I134" si="304">IF(C133="Matin",1,IF(C133="AM",1,0))</f>
        <v>0</v>
      </c>
      <c r="D134" s="60">
        <f t="shared" si="304"/>
        <v>0</v>
      </c>
      <c r="E134" s="60">
        <f t="shared" si="304"/>
        <v>0</v>
      </c>
      <c r="F134" s="60">
        <f t="shared" si="304"/>
        <v>0</v>
      </c>
      <c r="G134" s="60">
        <f t="shared" si="304"/>
        <v>0</v>
      </c>
      <c r="H134" s="60">
        <f t="shared" si="304"/>
        <v>0</v>
      </c>
      <c r="I134" s="60">
        <f t="shared" si="304"/>
        <v>0</v>
      </c>
      <c r="J134" s="60">
        <f>SUM(C134:I134)</f>
        <v>0</v>
      </c>
      <c r="K134" s="60"/>
      <c r="L134" s="60">
        <f t="shared" ref="L134:R134" si="305">IF(L133="Matin",1,IF(L133="AM",1,0))</f>
        <v>0</v>
      </c>
      <c r="M134" s="60">
        <f t="shared" si="305"/>
        <v>0</v>
      </c>
      <c r="N134" s="60">
        <f t="shared" si="305"/>
        <v>0</v>
      </c>
      <c r="O134" s="60">
        <f t="shared" si="305"/>
        <v>0</v>
      </c>
      <c r="P134" s="60">
        <f t="shared" si="305"/>
        <v>0</v>
      </c>
      <c r="Q134" s="60">
        <f t="shared" si="305"/>
        <v>0</v>
      </c>
      <c r="R134" s="60">
        <f t="shared" si="305"/>
        <v>0</v>
      </c>
      <c r="S134" s="60">
        <f>SUM(L134:R134)</f>
        <v>0</v>
      </c>
      <c r="T134" s="60"/>
      <c r="U134" s="60">
        <f t="shared" ref="U134:AA134" si="306">IF(U133="Matin",1,IF(U133="AM",1,0))</f>
        <v>0</v>
      </c>
      <c r="V134" s="60">
        <f t="shared" si="306"/>
        <v>0</v>
      </c>
      <c r="W134" s="60">
        <f t="shared" si="306"/>
        <v>0</v>
      </c>
      <c r="X134" s="60">
        <f t="shared" si="306"/>
        <v>0</v>
      </c>
      <c r="Y134" s="60">
        <f t="shared" si="306"/>
        <v>0</v>
      </c>
      <c r="Z134" s="60">
        <f t="shared" si="306"/>
        <v>0</v>
      </c>
      <c r="AA134" s="60">
        <f t="shared" si="306"/>
        <v>0</v>
      </c>
      <c r="AB134" s="60">
        <f>SUM(U134:AA134)</f>
        <v>0</v>
      </c>
      <c r="AC134" s="60"/>
      <c r="AD134" s="60">
        <f t="shared" ref="AD134:AJ134" si="307">IF(AD133="Matin",1,IF(AD133="AM",1,0))</f>
        <v>0</v>
      </c>
      <c r="AE134" s="60">
        <f t="shared" si="307"/>
        <v>0</v>
      </c>
      <c r="AF134" s="60">
        <f t="shared" si="307"/>
        <v>0</v>
      </c>
      <c r="AG134" s="60">
        <f t="shared" si="307"/>
        <v>0</v>
      </c>
      <c r="AH134" s="60">
        <f t="shared" si="307"/>
        <v>0</v>
      </c>
      <c r="AI134" s="60">
        <f t="shared" si="307"/>
        <v>0</v>
      </c>
      <c r="AJ134" s="60">
        <f t="shared" si="307"/>
        <v>0</v>
      </c>
      <c r="AK134" s="60">
        <f>SUM(AD134:AJ134)</f>
        <v>0</v>
      </c>
      <c r="AL134" s="60"/>
      <c r="AM134" s="60">
        <f t="shared" ref="AM134:AS134" si="308">IF(AM133="Matin",1,IF(AM133="AM",1,0))</f>
        <v>0</v>
      </c>
      <c r="AN134" s="60">
        <f t="shared" si="308"/>
        <v>0</v>
      </c>
      <c r="AO134" s="60">
        <f t="shared" si="308"/>
        <v>0</v>
      </c>
      <c r="AP134" s="60">
        <f t="shared" si="308"/>
        <v>0</v>
      </c>
      <c r="AQ134" s="60">
        <f t="shared" si="308"/>
        <v>0</v>
      </c>
      <c r="AR134" s="60">
        <f t="shared" si="308"/>
        <v>0</v>
      </c>
      <c r="AS134" s="60">
        <f t="shared" si="308"/>
        <v>0</v>
      </c>
      <c r="AT134" s="60">
        <f>SUM(AM134:AS134)</f>
        <v>0</v>
      </c>
      <c r="AU134" s="60"/>
      <c r="AV134" s="60">
        <f t="shared" ref="AV134:AW134" si="309">IF(AV133="Matin",1,IF(AV133="AM",1,0))</f>
        <v>1</v>
      </c>
      <c r="AW134" s="60">
        <f t="shared" si="309"/>
        <v>0</v>
      </c>
      <c r="AX134" s="60">
        <f t="shared" ref="AX134:AX141" si="310">SUM(AV134:AW134)</f>
        <v>1</v>
      </c>
      <c r="AY134" s="60">
        <f>J134+S134+AB134+AK134+AT134+AX134</f>
        <v>1</v>
      </c>
    </row>
    <row r="135" spans="1:53" ht="15" customHeight="1" x14ac:dyDescent="0.25">
      <c r="A135" s="21" t="s">
        <v>4</v>
      </c>
      <c r="B135" s="81"/>
      <c r="C135" s="60">
        <f>IF(C136&gt;=1,1,0)</f>
        <v>0</v>
      </c>
      <c r="D135" s="60">
        <f>IF(D136&gt;=1,1,0)</f>
        <v>0</v>
      </c>
      <c r="E135" s="60">
        <f t="shared" ref="E135:I135" si="311">IF(E136&gt;=1,1,0)</f>
        <v>0</v>
      </c>
      <c r="F135" s="60">
        <f t="shared" si="311"/>
        <v>0</v>
      </c>
      <c r="G135" s="60">
        <f t="shared" si="311"/>
        <v>0</v>
      </c>
      <c r="H135" s="60">
        <f t="shared" si="311"/>
        <v>0</v>
      </c>
      <c r="I135" s="60">
        <f t="shared" si="311"/>
        <v>0</v>
      </c>
      <c r="J135" s="60">
        <f t="shared" ref="J135:J145" si="312">SUM(C135:I135)</f>
        <v>0</v>
      </c>
      <c r="K135" s="60"/>
      <c r="L135" s="60">
        <f>IF(L136&gt;=1,1,0)</f>
        <v>0</v>
      </c>
      <c r="M135" s="60">
        <f t="shared" ref="M135:R135" si="313">IF(M136&gt;=1,1,0)</f>
        <v>0</v>
      </c>
      <c r="N135" s="60">
        <f t="shared" si="313"/>
        <v>0</v>
      </c>
      <c r="O135" s="60">
        <f t="shared" si="313"/>
        <v>0</v>
      </c>
      <c r="P135" s="60">
        <f t="shared" si="313"/>
        <v>0</v>
      </c>
      <c r="Q135" s="60">
        <f t="shared" si="313"/>
        <v>0</v>
      </c>
      <c r="R135" s="60">
        <f t="shared" si="313"/>
        <v>0</v>
      </c>
      <c r="S135" s="60">
        <f t="shared" ref="S135:S145" si="314">SUM(L135:R135)</f>
        <v>0</v>
      </c>
      <c r="T135" s="60"/>
      <c r="U135" s="60">
        <f>IF(U136&gt;=1,1,0)</f>
        <v>0</v>
      </c>
      <c r="V135" s="60">
        <f t="shared" ref="V135:AA135" si="315">IF(V136&gt;=1,1,0)</f>
        <v>0</v>
      </c>
      <c r="W135" s="60">
        <f t="shared" si="315"/>
        <v>0</v>
      </c>
      <c r="X135" s="60">
        <f t="shared" si="315"/>
        <v>0</v>
      </c>
      <c r="Y135" s="60">
        <f t="shared" si="315"/>
        <v>0</v>
      </c>
      <c r="Z135" s="60">
        <f t="shared" si="315"/>
        <v>0</v>
      </c>
      <c r="AA135" s="60">
        <f t="shared" si="315"/>
        <v>0</v>
      </c>
      <c r="AB135" s="60">
        <f t="shared" ref="AB135:AB145" si="316">SUM(U135:AA135)</f>
        <v>0</v>
      </c>
      <c r="AC135" s="60"/>
      <c r="AD135" s="60">
        <f>IF(AD136&gt;=1,1,0)</f>
        <v>0</v>
      </c>
      <c r="AE135" s="60">
        <f t="shared" ref="AE135:AJ135" si="317">IF(AE136&gt;=1,1,0)</f>
        <v>0</v>
      </c>
      <c r="AF135" s="60">
        <f t="shared" si="317"/>
        <v>0</v>
      </c>
      <c r="AG135" s="60">
        <f t="shared" si="317"/>
        <v>0</v>
      </c>
      <c r="AH135" s="60">
        <f t="shared" si="317"/>
        <v>0</v>
      </c>
      <c r="AI135" s="60">
        <f t="shared" si="317"/>
        <v>0</v>
      </c>
      <c r="AJ135" s="60">
        <f t="shared" si="317"/>
        <v>0</v>
      </c>
      <c r="AK135" s="60">
        <f t="shared" ref="AK135:AK145" si="318">SUM(AD135:AJ135)</f>
        <v>0</v>
      </c>
      <c r="AL135" s="60"/>
      <c r="AM135" s="60">
        <f>IF(AM136&gt;=1,1,0)</f>
        <v>0</v>
      </c>
      <c r="AN135" s="60">
        <f t="shared" ref="AN135:AS135" si="319">IF(AN136&gt;=1,1,0)</f>
        <v>0</v>
      </c>
      <c r="AO135" s="60">
        <f t="shared" si="319"/>
        <v>0</v>
      </c>
      <c r="AP135" s="60">
        <f t="shared" si="319"/>
        <v>0</v>
      </c>
      <c r="AQ135" s="60">
        <f t="shared" si="319"/>
        <v>0</v>
      </c>
      <c r="AR135" s="60">
        <f t="shared" si="319"/>
        <v>0</v>
      </c>
      <c r="AS135" s="60">
        <f t="shared" si="319"/>
        <v>0</v>
      </c>
      <c r="AT135" s="60">
        <f t="shared" ref="AT135:AT145" si="320">SUM(AM135:AS135)</f>
        <v>0</v>
      </c>
      <c r="AU135" s="60"/>
      <c r="AV135" s="60">
        <f>IF(AV136&gt;=1,1,0)</f>
        <v>1</v>
      </c>
      <c r="AW135" s="60">
        <f t="shared" ref="AW135" si="321">IF(AW136&gt;=1,1,0)</f>
        <v>0</v>
      </c>
      <c r="AX135" s="60">
        <f t="shared" si="310"/>
        <v>1</v>
      </c>
      <c r="AY135" s="60">
        <f t="shared" ref="AY135:AY144" si="322">J135+S135+AB135+AK135+AT135+AX135</f>
        <v>1</v>
      </c>
    </row>
    <row r="136" spans="1:53" ht="15" customHeight="1" x14ac:dyDescent="0.25">
      <c r="A136" s="21" t="s">
        <v>3</v>
      </c>
      <c r="B136" s="81"/>
      <c r="C136" s="60">
        <f>IF(C133="Matin",8,IF(C133="AM",8,IF(C133="nuit",8,0)))</f>
        <v>0</v>
      </c>
      <c r="D136" s="60">
        <f t="shared" ref="D136:I136" si="323">IF(D133="Matin",8,IF(D133="AM",8,IF(D133="nuit",8,0)))</f>
        <v>0</v>
      </c>
      <c r="E136" s="60">
        <f t="shared" si="323"/>
        <v>0</v>
      </c>
      <c r="F136" s="60">
        <f t="shared" si="323"/>
        <v>0</v>
      </c>
      <c r="G136" s="60">
        <f t="shared" si="323"/>
        <v>0</v>
      </c>
      <c r="H136" s="60">
        <f t="shared" si="323"/>
        <v>0</v>
      </c>
      <c r="I136" s="60">
        <f t="shared" si="323"/>
        <v>0</v>
      </c>
      <c r="J136" s="60">
        <f t="shared" si="312"/>
        <v>0</v>
      </c>
      <c r="K136" s="60"/>
      <c r="L136" s="60">
        <f>IF(L133="Matin",8,IF(L133="AM",8,IF(L133="nuit",8,0)))</f>
        <v>0</v>
      </c>
      <c r="M136" s="60">
        <f t="shared" ref="M136:R136" si="324">IF(M133="Matin",8,IF(M133="AM",8,IF(M133="nuit",8,0)))</f>
        <v>0</v>
      </c>
      <c r="N136" s="60">
        <f t="shared" si="324"/>
        <v>0</v>
      </c>
      <c r="O136" s="60">
        <f t="shared" si="324"/>
        <v>0</v>
      </c>
      <c r="P136" s="60">
        <f t="shared" si="324"/>
        <v>0</v>
      </c>
      <c r="Q136" s="60">
        <f t="shared" si="324"/>
        <v>0</v>
      </c>
      <c r="R136" s="60">
        <f t="shared" si="324"/>
        <v>0</v>
      </c>
      <c r="S136" s="60">
        <f t="shared" si="314"/>
        <v>0</v>
      </c>
      <c r="T136" s="60"/>
      <c r="U136" s="60">
        <f>IF(U133="Matin",8,IF(U133="AM",8,IF(U133="nuit",8,0)))</f>
        <v>0</v>
      </c>
      <c r="V136" s="60">
        <f t="shared" ref="V136:AA136" si="325">IF(V133="Matin",8,IF(V133="AM",8,IF(V133="nuit",8,0)))</f>
        <v>0</v>
      </c>
      <c r="W136" s="60">
        <f t="shared" si="325"/>
        <v>0</v>
      </c>
      <c r="X136" s="60">
        <f t="shared" si="325"/>
        <v>0</v>
      </c>
      <c r="Y136" s="60">
        <f t="shared" si="325"/>
        <v>0</v>
      </c>
      <c r="Z136" s="60">
        <f t="shared" si="325"/>
        <v>0</v>
      </c>
      <c r="AA136" s="60">
        <f t="shared" si="325"/>
        <v>0</v>
      </c>
      <c r="AB136" s="60">
        <f t="shared" si="316"/>
        <v>0</v>
      </c>
      <c r="AC136" s="60"/>
      <c r="AD136" s="60">
        <f>IF(AD133="Matin",8,IF(AD133="AM",8,IF(AD133="nuit",8,0)))</f>
        <v>0</v>
      </c>
      <c r="AE136" s="60">
        <f t="shared" ref="AE136:AJ136" si="326">IF(AE133="Matin",8,IF(AE133="AM",8,IF(AE133="nuit",8,0)))</f>
        <v>0</v>
      </c>
      <c r="AF136" s="60">
        <f t="shared" si="326"/>
        <v>0</v>
      </c>
      <c r="AG136" s="60">
        <f t="shared" si="326"/>
        <v>0</v>
      </c>
      <c r="AH136" s="60">
        <f t="shared" si="326"/>
        <v>0</v>
      </c>
      <c r="AI136" s="60">
        <f t="shared" si="326"/>
        <v>0</v>
      </c>
      <c r="AJ136" s="60">
        <f t="shared" si="326"/>
        <v>0</v>
      </c>
      <c r="AK136" s="60">
        <f t="shared" si="318"/>
        <v>0</v>
      </c>
      <c r="AL136" s="60"/>
      <c r="AM136" s="60">
        <f>IF(AM133="Matin",8,IF(AM133="AM",8,IF(AM133="nuit",8,0)))</f>
        <v>0</v>
      </c>
      <c r="AN136" s="60">
        <f t="shared" ref="AN136:AS136" si="327">IF(AN133="Matin",8,IF(AN133="AM",8,IF(AN133="nuit",8,0)))</f>
        <v>0</v>
      </c>
      <c r="AO136" s="60">
        <f t="shared" si="327"/>
        <v>0</v>
      </c>
      <c r="AP136" s="60">
        <f t="shared" si="327"/>
        <v>0</v>
      </c>
      <c r="AQ136" s="60">
        <f t="shared" si="327"/>
        <v>0</v>
      </c>
      <c r="AR136" s="60">
        <f t="shared" si="327"/>
        <v>0</v>
      </c>
      <c r="AS136" s="60">
        <f t="shared" si="327"/>
        <v>0</v>
      </c>
      <c r="AT136" s="60">
        <f t="shared" si="320"/>
        <v>0</v>
      </c>
      <c r="AU136" s="60"/>
      <c r="AV136" s="60">
        <f>IF(AV133="Matin",8,IF(AV133="AM",8,IF(AV133="nuit",8,0)))</f>
        <v>8</v>
      </c>
      <c r="AW136" s="60">
        <f t="shared" ref="AW136" si="328">IF(AW133="Matin",8,IF(AW133="AM",8,IF(AW133="nuit",8,0)))</f>
        <v>0</v>
      </c>
      <c r="AX136" s="60">
        <f t="shared" si="310"/>
        <v>8</v>
      </c>
      <c r="AY136" s="60">
        <f t="shared" si="322"/>
        <v>8</v>
      </c>
    </row>
    <row r="137" spans="1:53" ht="15" customHeight="1" x14ac:dyDescent="0.25">
      <c r="A137" s="36" t="s">
        <v>20</v>
      </c>
      <c r="B137" s="82"/>
      <c r="C137" s="66">
        <f>IF(C131&lt;&gt;"Dim",IF(C136&gt;32,MIN(C136,35)-32,0),0)</f>
        <v>0</v>
      </c>
      <c r="D137" s="66">
        <f>IF(D131&lt;&gt;"Dim",IF(SUM($C136:D136)&gt;32,MIN(SUM($C136:D136),35)-32-SUM($C137:C137),0),0)</f>
        <v>0</v>
      </c>
      <c r="E137" s="66">
        <f>IF(E131&lt;&gt;"Dim",IF(SUM($C136:E136)&gt;32,MIN(SUM($C136:E136),35)-32-SUM($C137:D137),0),0)</f>
        <v>0</v>
      </c>
      <c r="F137" s="66">
        <f>IF(F131&lt;&gt;"Dim",IF(SUM($C136:F136)&gt;32,MIN(SUM($C136:F136),35)-32-SUM($C137:E137),0),0)</f>
        <v>0</v>
      </c>
      <c r="G137" s="66">
        <f>IF(G131&lt;&gt;"Dim",IF(SUM($C136:G136)&gt;32,MIN(SUM($C136:G136),35)-32-SUM($C137:F137),0),0)</f>
        <v>0</v>
      </c>
      <c r="H137" s="66">
        <f>IF(H131&lt;&gt;"Dim",IF(SUM($C136:H136)&gt;32,MIN(SUM($C136:H136),35)-32-SUM($C137:G137),0),0)</f>
        <v>0</v>
      </c>
      <c r="I137" s="66">
        <f>IF(I131&lt;&gt;"Dim",IF(SUM($C136:I136)&gt;32,MIN(SUM($C136:I136),35)-32-SUM($C137:H137),0),0)</f>
        <v>0</v>
      </c>
      <c r="J137" s="60">
        <f t="shared" si="312"/>
        <v>0</v>
      </c>
      <c r="K137" s="60"/>
      <c r="L137" s="66">
        <f>IF(L131&lt;&gt;"Dim",IF(L136&gt;32,MIN(L136,35)-32,0),0)</f>
        <v>0</v>
      </c>
      <c r="M137" s="66">
        <f>IF(M131&lt;&gt;"Dim",IF(SUM($L136:M136)&gt;32,MIN(SUM($L136:M136),35)-32-SUM($L137:L137),0),0)</f>
        <v>0</v>
      </c>
      <c r="N137" s="66">
        <f>IF(N131&lt;&gt;"Dim",IF(SUM($L136:N136)&gt;32,MIN(SUM($L136:N136),35)-32-SUM($L137:M137),0),0)</f>
        <v>0</v>
      </c>
      <c r="O137" s="66">
        <f>IF(O131&lt;&gt;"Dim",IF(SUM($L136:O136)&gt;32,MIN(SUM($L136:O136),35)-32-SUM($L137:N137),0),0)</f>
        <v>0</v>
      </c>
      <c r="P137" s="66">
        <f>IF(P131&lt;&gt;"Dim",IF(SUM($L136:P136)&gt;32,MIN(SUM($L136:P136),35)-32-SUM($L137:O137),0),0)</f>
        <v>0</v>
      </c>
      <c r="Q137" s="66">
        <f>IF(Q131&lt;&gt;"Dim",IF(SUM($L136:Q136)&gt;32,MIN(SUM($L136:Q136),35)-32-SUM($L137:P137),0),0)</f>
        <v>0</v>
      </c>
      <c r="R137" s="66">
        <f>IF(R131&lt;&gt;"Dim",IF(SUM($L136:R136)&gt;32,MIN(SUM($L136:R136),35)-32-SUM($L137:Q137),0),0)</f>
        <v>0</v>
      </c>
      <c r="S137" s="60">
        <f t="shared" si="314"/>
        <v>0</v>
      </c>
      <c r="T137" s="60"/>
      <c r="U137" s="66">
        <f>IF(U131&lt;&gt;"Dim",IF(U136&gt;32,MIN(U136,35)-32,0),0)</f>
        <v>0</v>
      </c>
      <c r="V137" s="66">
        <f>IF(V131&lt;&gt;"Dim",IF(SUM($U136:V136)&gt;32,MIN(SUM($U136:V136),35)-32-SUM($U137:U137),0),0)</f>
        <v>0</v>
      </c>
      <c r="W137" s="66">
        <f>IF(W131&lt;&gt;"Dim",IF(SUM($U136:W136)&gt;32,MIN(SUM($U136:W136),35)-32-SUM($U137:V137),0),0)</f>
        <v>0</v>
      </c>
      <c r="X137" s="66">
        <f>IF(X131&lt;&gt;"Dim",IF(SUM($U136:X136)&gt;32,MIN(SUM($U136:X136),35)-32-SUM($U137:W137),0),0)</f>
        <v>0</v>
      </c>
      <c r="Y137" s="66">
        <f>IF(Y131&lt;&gt;"Dim",IF(SUM($U136:Y136)&gt;32,MIN(SUM($U136:Y136),35)-32-SUM($U137:X137),0),0)</f>
        <v>0</v>
      </c>
      <c r="Z137" s="66">
        <f>IF(Z131&lt;&gt;"Dim",IF(SUM($U136:Z136)&gt;32,MIN(SUM($U136:Z136),35)-32-SUM($U137:Y137),0),0)</f>
        <v>0</v>
      </c>
      <c r="AA137" s="66">
        <f>IF(AA131&lt;&gt;"Dim",IF(SUM($U136:AA136)&gt;32,MIN(SUM($U136:AA136),35)-32-SUM($U137:Z137),0),0)</f>
        <v>0</v>
      </c>
      <c r="AB137" s="60">
        <f t="shared" si="316"/>
        <v>0</v>
      </c>
      <c r="AC137" s="60"/>
      <c r="AD137" s="66">
        <f>IF(AD131&lt;&gt;"Dim",IF(AD136&gt;32,MIN(AD136,35)-32,0),0)</f>
        <v>0</v>
      </c>
      <c r="AE137" s="66">
        <f>IF(AE131&lt;&gt;"Dim",IF(SUM($AD136:AE136)&gt;32,MIN(SUM($AD136:AE136),35)-32-SUM($AD137:AD137),0),0)</f>
        <v>0</v>
      </c>
      <c r="AF137" s="66">
        <f>IF(AF131&lt;&gt;"Dim",IF(SUM($AD136:AF136)&gt;32,MIN(SUM($AD136:AF136),35)-32-SUM($AD137:AE137),0),0)</f>
        <v>0</v>
      </c>
      <c r="AG137" s="66">
        <f>IF(AG131&lt;&gt;"Dim",IF(SUM($AD136:AG136)&gt;32,MIN(SUM($AD136:AG136),35)-32-SUM($AD137:AF137),0),0)</f>
        <v>0</v>
      </c>
      <c r="AH137" s="66">
        <f>IF(AH131&lt;&gt;"Dim",IF(SUM($AD136:AH136)&gt;32,MIN(SUM($AD136:AH136),35)-32-SUM($AD137:AG137),0),0)</f>
        <v>0</v>
      </c>
      <c r="AI137" s="66">
        <f>IF(AI131&lt;&gt;"Dim",IF(SUM($AD136:AI136)&gt;32,MIN(SUM($AD136:AI136),35)-32-SUM($AD137:AH137),0),0)</f>
        <v>0</v>
      </c>
      <c r="AJ137" s="66">
        <f>IF(AJ131&lt;&gt;"Dim",IF(SUM($AD136:AJ136)&gt;32,MIN(SUM($AD136:AJ136),35)-32-SUM($AD137:AI137),0),0)</f>
        <v>0</v>
      </c>
      <c r="AK137" s="60">
        <f t="shared" si="318"/>
        <v>0</v>
      </c>
      <c r="AL137" s="60"/>
      <c r="AM137" s="66">
        <f>IF(AM131&lt;&gt;"Dim",IF(AM136&gt;32,MIN(AM136,35)-32,0),0)</f>
        <v>0</v>
      </c>
      <c r="AN137" s="66">
        <f>IF(AN131&lt;&gt;"Dim",IF(SUM($AM136:AN136)&gt;32,MIN(SUM($AM136:AN136),35)-32-SUM($AM137:AM137),0),0)</f>
        <v>0</v>
      </c>
      <c r="AO137" s="66">
        <f>IF(AO131&lt;&gt;"Dim",IF(SUM($AM136:AO136)&gt;32,MIN(SUM($AM136:AO136),35)-32-SUM($AM137:AN137),0),0)</f>
        <v>0</v>
      </c>
      <c r="AP137" s="66">
        <f>IF(AP131&lt;&gt;"Dim",IF(SUM($AM136:AP136)&gt;32,MIN(SUM($AM136:AP136),35)-32-SUM($AM137:AO137),0),0)</f>
        <v>0</v>
      </c>
      <c r="AQ137" s="66">
        <f>IF(AQ131&lt;&gt;"Dim",IF(SUM($AM136:AQ136)&gt;32,MIN(SUM($AM136:AQ136),35)-32-SUM($AM137:AP137),0),0)</f>
        <v>0</v>
      </c>
      <c r="AR137" s="66">
        <f>IF(AR131&lt;&gt;"Dim",IF(SUM($AM136:AR136)&gt;32,MIN(SUM($AM136:AR136),35)-32-SUM($AM137:AQ137),0),0)</f>
        <v>0</v>
      </c>
      <c r="AS137" s="66">
        <f>IF(AS131&lt;&gt;"Dim",IF(SUM($AM136:AS136)&gt;32,MIN(SUM($AM136:AS136),35)-32-SUM($AM137:AR137),0),0)</f>
        <v>0</v>
      </c>
      <c r="AT137" s="60">
        <f t="shared" si="320"/>
        <v>0</v>
      </c>
      <c r="AU137" s="60"/>
      <c r="AV137" s="66">
        <f>IF(AV131&lt;&gt;"Dim",IF(AV136&gt;32,MIN(AV136,35)-32,0),0)</f>
        <v>0</v>
      </c>
      <c r="AW137" s="66">
        <f>IF(AW131&lt;&gt;"Dim",IF(SUM($AV136:AW136)&gt;32,MIN(SUM($AV136:AW136),35)-32-SUM($AV137:AV137),0),0)</f>
        <v>0</v>
      </c>
      <c r="AX137" s="60">
        <f t="shared" si="310"/>
        <v>0</v>
      </c>
      <c r="AY137" s="60">
        <f t="shared" si="322"/>
        <v>0</v>
      </c>
    </row>
    <row r="138" spans="1:53" ht="15" customHeight="1" x14ac:dyDescent="0.25">
      <c r="A138" s="21" t="s">
        <v>6</v>
      </c>
      <c r="B138" s="81"/>
      <c r="C138" s="66">
        <f>IF(C131&lt;&gt;"Dim",IF(C136&gt;35,(MIN(C136,43)-35),0),0)</f>
        <v>0</v>
      </c>
      <c r="D138" s="66">
        <f>IF(D131&lt;&gt;"Dim",IF(SUM($C136:D136)&gt;35,(MIN(SUM($C136:D136),43)-35-SUM($C138:C138)),0),0)</f>
        <v>0</v>
      </c>
      <c r="E138" s="66">
        <f>IF(E131&lt;&gt;"Dim",IF(SUM($C136:E136)&gt;35,(MIN(SUM($C136:E136),43)-35-SUM($C138:D138)),0),0)</f>
        <v>0</v>
      </c>
      <c r="F138" s="66">
        <f>IF(F131&lt;&gt;"Dim",IF(SUM($C136:F136)&gt;35,(MIN(SUM($C136:F136),43)-35-SUM($C138:E138)),0),0)</f>
        <v>0</v>
      </c>
      <c r="G138" s="66">
        <f>IF(G131&lt;&gt;"Dim",IF(SUM($C136:G136)&gt;35,(MIN(SUM($C136:G136),43)-35-SUM($C138:F138)),0),0)</f>
        <v>0</v>
      </c>
      <c r="H138" s="66">
        <f>IF(H131&lt;&gt;"Dim",IF(SUM($C136:H136)&gt;35,(MIN(SUM($C136:H136),43)-35-SUM($C138:G138)),0),0)</f>
        <v>0</v>
      </c>
      <c r="I138" s="66">
        <f>IF(I131&lt;&gt;"Dim",IF(SUM($C136:I136)&gt;35,(MIN(SUM($C136:I136),43)-35-SUM($C138:H138)),0),0)</f>
        <v>0</v>
      </c>
      <c r="J138" s="60">
        <f t="shared" si="312"/>
        <v>0</v>
      </c>
      <c r="K138" s="60"/>
      <c r="L138" s="66">
        <f>IF(L131&lt;&gt;"Dim",IF(L136&gt;35,(MIN(L136,43)-35),0),0)</f>
        <v>0</v>
      </c>
      <c r="M138" s="66">
        <f>IF(M131&lt;&gt;"Dim",IF(SUM($L136:M136)&gt;35,(MIN(SUM($L136:M136),43)-35-SUM($L138:L138)),0),0)</f>
        <v>0</v>
      </c>
      <c r="N138" s="66">
        <f>IF(N131&lt;&gt;"Dim",IF(SUM($L136:N136)&gt;35,(MIN(SUM($L136:N136),43)-35-SUM($L138:M138)),0),0)</f>
        <v>0</v>
      </c>
      <c r="O138" s="66">
        <f>IF(O131&lt;&gt;"Dim",IF(SUM($L136:O136)&gt;35,(MIN(SUM($L136:O136),43)-35-SUM($L138:N138)),0),0)</f>
        <v>0</v>
      </c>
      <c r="P138" s="66">
        <f>IF(P131&lt;&gt;"Dim",IF(SUM($L136:P136)&gt;35,(MIN(SUM($L136:P136),43)-35-SUM($L138:O138)),0),0)</f>
        <v>0</v>
      </c>
      <c r="Q138" s="66">
        <f>IF(Q131&lt;&gt;"Dim",IF(SUM($L136:Q136)&gt;35,(MIN(SUM($L136:Q136),43)-35-SUM($L138:P138)),0),0)</f>
        <v>0</v>
      </c>
      <c r="R138" s="66">
        <f>IF(R131&lt;&gt;"Dim",IF(SUM($L136:R136)&gt;35,(MIN(SUM($L136:R136),43)-35-SUM($L138:Q138)),0),0)</f>
        <v>0</v>
      </c>
      <c r="S138" s="60">
        <f t="shared" si="314"/>
        <v>0</v>
      </c>
      <c r="T138" s="60"/>
      <c r="U138" s="66">
        <f>IF(U131&lt;&gt;"Dim",IF(U136&gt;35,(MIN(U136,43)-35),0),0)</f>
        <v>0</v>
      </c>
      <c r="V138" s="66">
        <f>IF(V131&lt;&gt;"Dim",IF(SUM($U136:V136)&gt;35,(MIN(SUM($U136:V136),43)-35-SUM($U138:U138)),0),0)</f>
        <v>0</v>
      </c>
      <c r="W138" s="66">
        <f>IF(W131&lt;&gt;"Dim",IF(SUM($U136:W136)&gt;35,(MIN(SUM($U136:W136),43)-35-SUM($U138:V138)),0),0)</f>
        <v>0</v>
      </c>
      <c r="X138" s="66">
        <f>IF(X131&lt;&gt;"Dim",IF(SUM($U136:X136)&gt;35,(MIN(SUM($U136:X136),43)-35-SUM($U138:W138)),0),0)</f>
        <v>0</v>
      </c>
      <c r="Y138" s="66">
        <f>IF(Y131&lt;&gt;"Dim",IF(SUM($U136:Y136)&gt;35,(MIN(SUM($U136:Y136),43)-35-SUM($U138:X138)),0),0)</f>
        <v>0</v>
      </c>
      <c r="Z138" s="66">
        <f>IF(Z131&lt;&gt;"Dim",IF(SUM($U136:Z136)&gt;35,(MIN(SUM($U136:Z136),43)-35-SUM($U138:Y138)),0),0)</f>
        <v>0</v>
      </c>
      <c r="AA138" s="66">
        <f>IF(AA131&lt;&gt;"Dim",IF(SUM($U136:AA136)&gt;35,(MIN(SUM($U136:AA136),43)-35-SUM($U138:Z138)),0),0)</f>
        <v>0</v>
      </c>
      <c r="AB138" s="60">
        <f t="shared" si="316"/>
        <v>0</v>
      </c>
      <c r="AC138" s="60"/>
      <c r="AD138" s="66">
        <f>IF(AD131&lt;&gt;"Dim",IF(AD136&gt;35,(MIN(AD136,43)-35),0),0)</f>
        <v>0</v>
      </c>
      <c r="AE138" s="66">
        <f>IF(AE131&lt;&gt;"Dim",IF(SUM($AD136:AE136)&gt;35,(MIN(SUM($AD136:AE136),43)-35-SUM($AD138:AD138)),0),0)</f>
        <v>0</v>
      </c>
      <c r="AF138" s="66">
        <f>IF(AF131&lt;&gt;"Dim",IF(SUM($AD136:AF136)&gt;35,(MIN(SUM($AD136:AF136),43)-35-SUM($AD138:AE138)),0),0)</f>
        <v>0</v>
      </c>
      <c r="AG138" s="66">
        <f>IF(AG131&lt;&gt;"Dim",IF(SUM($AD136:AG136)&gt;35,(MIN(SUM($AD136:AG136),43)-35-SUM($AD138:AF138)),0),0)</f>
        <v>0</v>
      </c>
      <c r="AH138" s="66">
        <f>IF(AH131&lt;&gt;"Dim",IF(SUM($AD136:AH136)&gt;35,(MIN(SUM($AD136:AH136),43)-35-SUM($AD138:AG138)),0),0)</f>
        <v>0</v>
      </c>
      <c r="AI138" s="66">
        <f>IF(AI131&lt;&gt;"Dim",IF(SUM($AD136:AI136)&gt;35,(MIN(SUM($AD136:AI136),43)-35-SUM($AD138:AH138)),0),0)</f>
        <v>0</v>
      </c>
      <c r="AJ138" s="66">
        <f>IF(AJ131&lt;&gt;"Dim",IF(SUM($AD136:AJ136)&gt;35,(MIN(SUM($AD136:AJ136),43)-35-SUM($AD138:AI138)),0),0)</f>
        <v>0</v>
      </c>
      <c r="AK138" s="60">
        <f t="shared" si="318"/>
        <v>0</v>
      </c>
      <c r="AL138" s="60"/>
      <c r="AM138" s="66">
        <f>IF(AM131&lt;&gt;"Dim",IF(AM136&gt;35,(MIN(AM136,43)-35),0),0)</f>
        <v>0</v>
      </c>
      <c r="AN138" s="66">
        <f>IF(AN131&lt;&gt;"Dim",IF(SUM($AM136:AN136)&gt;35,(MIN(SUM($AM136:AN136),43)-35-SUM($AM138:AM138)),0),0)</f>
        <v>0</v>
      </c>
      <c r="AO138" s="66">
        <f>IF(AO131&lt;&gt;"Dim",IF(SUM($AM136:AO136)&gt;35,(MIN(SUM($AM136:AO136),43)-35-SUM($AM138:AN138)),0),0)</f>
        <v>0</v>
      </c>
      <c r="AP138" s="66">
        <f>IF(AP131&lt;&gt;"Dim",IF(SUM($AM136:AP136)&gt;35,(MIN(SUM($AM136:AP136),43)-35-SUM($AM138:AO138)),0),0)</f>
        <v>0</v>
      </c>
      <c r="AQ138" s="66">
        <f>IF(AQ131&lt;&gt;"Dim",IF(SUM($AM136:AQ136)&gt;35,(MIN(SUM($AM136:AQ136),43)-35-SUM($AM138:AP138)),0),0)</f>
        <v>0</v>
      </c>
      <c r="AR138" s="66">
        <f>IF(AR131&lt;&gt;"Dim",IF(SUM($AM136:AR136)&gt;35,(MIN(SUM($AM136:AR136),43)-35-SUM($AM138:AQ138)),0),0)</f>
        <v>0</v>
      </c>
      <c r="AS138" s="66">
        <f>IF(AS131&lt;&gt;"Dim",IF(SUM($AM136:AS136)&gt;35,(MIN(SUM($AM136:AS136),43)-35-SUM($AM138:AR138)),0),0)</f>
        <v>0</v>
      </c>
      <c r="AT138" s="60">
        <f t="shared" si="320"/>
        <v>0</v>
      </c>
      <c r="AU138" s="60"/>
      <c r="AV138" s="66">
        <f>IF(AV131&lt;&gt;"Dim",IF(AV136&gt;35,(MIN(AV136,43)-35),0),0)</f>
        <v>0</v>
      </c>
      <c r="AW138" s="66">
        <f>IF(AW131&lt;&gt;"Dim",IF(SUM($AV136:AW136)&gt;35,(MIN(SUM($AV136:AW136),43)-35-SUM($AV138:AV138)),0),0)</f>
        <v>0</v>
      </c>
      <c r="AX138" s="60">
        <f t="shared" si="310"/>
        <v>0</v>
      </c>
      <c r="AY138" s="60">
        <f t="shared" si="322"/>
        <v>0</v>
      </c>
    </row>
    <row r="139" spans="1:53" ht="15" customHeight="1" x14ac:dyDescent="0.25">
      <c r="A139" s="21" t="s">
        <v>5</v>
      </c>
      <c r="B139" s="81"/>
      <c r="C139" s="66">
        <f>IF(C131&lt;&gt;"Dim",IF(C136&gt;43,(MIN(C136,48)-43),0),0)</f>
        <v>0</v>
      </c>
      <c r="D139" s="66">
        <f>IF(D131&lt;&gt;"Dim",IF(SUM($C136:D136)&gt;43,(MIN(SUM($C136:D136),48)-43-SUM($C139:C139)),0),0)</f>
        <v>0</v>
      </c>
      <c r="E139" s="66">
        <f>IF(E131&lt;&gt;"Dim",IF(SUM($C136:E136)&gt;43,(MIN(SUM($C136:E136),48)-43-SUM($C139:D139)),0),0)</f>
        <v>0</v>
      </c>
      <c r="F139" s="66">
        <f>IF(F131&lt;&gt;"Dim",IF(SUM($C136:F136)&gt;43,(MIN(SUM($C136:F136),48)-43-SUM($C139:E139)),0),0)</f>
        <v>0</v>
      </c>
      <c r="G139" s="66">
        <f>IF(G131&lt;&gt;"Dim",IF(SUM($C136:G136)&gt;43,(MIN(SUM($C136:G136),48)-43-SUM($C139:F139)),0),0)</f>
        <v>0</v>
      </c>
      <c r="H139" s="66">
        <f>IF(H131&lt;&gt;"Dim",IF(SUM($C136:H136)&gt;43,(MIN(SUM($C136:H136),48)-43-SUM($C139:G139)),0),0)</f>
        <v>0</v>
      </c>
      <c r="I139" s="66">
        <f>IF(I131&lt;&gt;"Dim",IF(SUM($C136:I136)&gt;43,(MIN(SUM($C136:I136),48)-43-SUM($C139:H139)),0),0)</f>
        <v>0</v>
      </c>
      <c r="J139" s="60">
        <f t="shared" si="312"/>
        <v>0</v>
      </c>
      <c r="K139" s="60"/>
      <c r="L139" s="66">
        <f>IF(L131&lt;&gt;"Dim",IF(L136&gt;43,(MIN(L136,48)-43),0),0)</f>
        <v>0</v>
      </c>
      <c r="M139" s="66">
        <f>IF(M131&lt;&gt;"Dim",IF(SUM($L136:M136)&gt;43,(MIN(SUM($L136:M136),48)-43-SUM($L139:L139)),0),0)</f>
        <v>0</v>
      </c>
      <c r="N139" s="66">
        <f>IF(N131&lt;&gt;"Dim",IF(SUM($L136:N136)&gt;43,(MIN(SUM($L136:N136),48)-43-SUM($L139:M139)),0),0)</f>
        <v>0</v>
      </c>
      <c r="O139" s="66">
        <f>IF(O131&lt;&gt;"Dim",IF(SUM($L136:O136)&gt;43,(MIN(SUM($L136:O136),48)-43-SUM($L139:N139)),0),0)</f>
        <v>0</v>
      </c>
      <c r="P139" s="66">
        <f>IF(P131&lt;&gt;"Dim",IF(SUM($L136:P136)&gt;43,(MIN(SUM($L136:P136),48)-43-SUM($L139:O139)),0),0)</f>
        <v>0</v>
      </c>
      <c r="Q139" s="66">
        <f>IF(Q131&lt;&gt;"Dim",IF(SUM($L136:Q136)&gt;43,(MIN(SUM($L136:Q136),48)-43-SUM($L139:P139)),0),0)</f>
        <v>0</v>
      </c>
      <c r="R139" s="66">
        <f>IF(R131&lt;&gt;"Dim",IF(SUM($L136:R136)&gt;43,(MIN(SUM($L136:R136),48)-43-SUM($L139:Q139)),0),0)</f>
        <v>0</v>
      </c>
      <c r="S139" s="60">
        <f t="shared" si="314"/>
        <v>0</v>
      </c>
      <c r="T139" s="60"/>
      <c r="U139" s="66">
        <f>IF(U131&lt;&gt;"Dim",IF(U136&gt;43,(MIN(U136,48)-43),0),0)</f>
        <v>0</v>
      </c>
      <c r="V139" s="66">
        <f>IF(V131&lt;&gt;"Dim",IF(SUM($U136:V136)&gt;43,(MIN(SUM($U136:V136),48)-43-SUM($U139:U139)),0),0)</f>
        <v>0</v>
      </c>
      <c r="W139" s="66">
        <f>IF(W131&lt;&gt;"Dim",IF(SUM($U136:W136)&gt;43,(MIN(SUM($U136:W136),48)-43-SUM($U139:V139)),0),0)</f>
        <v>0</v>
      </c>
      <c r="X139" s="66">
        <f>IF(X131&lt;&gt;"Dim",IF(SUM($U136:X136)&gt;43,(MIN(SUM($U136:X136),48)-43-SUM($U139:W139)),0),0)</f>
        <v>0</v>
      </c>
      <c r="Y139" s="66">
        <f>IF(Y131&lt;&gt;"Dim",IF(SUM($U136:Y136)&gt;43,(MIN(SUM($U136:Y136),48)-43-SUM($U139:X139)),0),0)</f>
        <v>0</v>
      </c>
      <c r="Z139" s="66">
        <f>IF(Z131&lt;&gt;"Dim",IF(SUM($U136:Z136)&gt;43,(MIN(SUM($U136:Z136),48)-43-SUM($U139:Y139)),0),0)</f>
        <v>0</v>
      </c>
      <c r="AA139" s="66">
        <f>IF(AA131&lt;&gt;"Dim",IF(SUM($U136:AA136)&gt;43,(MIN(SUM($U136:AA136),48)-43-SUM($U139:Z139)),0),0)</f>
        <v>0</v>
      </c>
      <c r="AB139" s="60">
        <f t="shared" si="316"/>
        <v>0</v>
      </c>
      <c r="AC139" s="60"/>
      <c r="AD139" s="66">
        <f>IF(AD131&lt;&gt;"Dim",IF(AD136&gt;43,(MIN(AD136,48)-43),0),0)</f>
        <v>0</v>
      </c>
      <c r="AE139" s="66">
        <f>IF(AE131&lt;&gt;"Dim",IF(SUM($AD136:AE136)&gt;43,(MIN(SUM($AD136:AE136),48)-43-SUM($AD139:AD139)),0),0)</f>
        <v>0</v>
      </c>
      <c r="AF139" s="66">
        <f>IF(AF131&lt;&gt;"Dim",IF(SUM($AD136:AF136)&gt;43,(MIN(SUM($AD136:AF136),48)-43-SUM($AD139:AE139)),0),0)</f>
        <v>0</v>
      </c>
      <c r="AG139" s="66">
        <f>IF(AG131&lt;&gt;"Dim",IF(SUM($AD136:AG136)&gt;43,(MIN(SUM($AD136:AG136),48)-43-SUM($AD139:AF139)),0),0)</f>
        <v>0</v>
      </c>
      <c r="AH139" s="66">
        <f>IF(AH131&lt;&gt;"Dim",IF(SUM($AD136:AH136)&gt;43,(MIN(SUM($AD136:AH136),48)-43-SUM($AD139:AG139)),0),0)</f>
        <v>0</v>
      </c>
      <c r="AI139" s="66">
        <f>IF(AI131&lt;&gt;"Dim",IF(SUM($AD136:AI136)&gt;43,(MIN(SUM($AD136:AI136),48)-43-SUM($AD139:AH139)),0),0)</f>
        <v>0</v>
      </c>
      <c r="AJ139" s="66">
        <f>IF(AJ131&lt;&gt;"Dim",IF(SUM($AD136:AJ136)&gt;43,(MIN(SUM($AD136:AJ136),48)-43-SUM($AD139:AI139)),0),0)</f>
        <v>0</v>
      </c>
      <c r="AK139" s="60">
        <f t="shared" si="318"/>
        <v>0</v>
      </c>
      <c r="AL139" s="60"/>
      <c r="AM139" s="66">
        <f>IF(AM131&lt;&gt;"Dim",IF(AM136&gt;43,(MIN(AM136,48)-43),0),0)</f>
        <v>0</v>
      </c>
      <c r="AN139" s="66">
        <f>IF(AN131&lt;&gt;"Dim",IF(SUM($AM136:AN136)&gt;43,(MIN(SUM($AM136:AN136),48)-43-SUM($AM139:AM139)),0),0)</f>
        <v>0</v>
      </c>
      <c r="AO139" s="66">
        <f>IF(AO131&lt;&gt;"Dim",IF(SUM($AM136:AO136)&gt;43,(MIN(SUM($AM136:AO136),48)-43-SUM($AM139:AN139)),0),0)</f>
        <v>0</v>
      </c>
      <c r="AP139" s="66">
        <f>IF(AP131&lt;&gt;"Dim",IF(SUM($AM136:AP136)&gt;43,(MIN(SUM($AM136:AP136),48)-43-SUM($AM139:AO139)),0),0)</f>
        <v>0</v>
      </c>
      <c r="AQ139" s="66">
        <f>IF(AQ131&lt;&gt;"Dim",IF(SUM($AM136:AQ136)&gt;43,(MIN(SUM($AM136:AQ136),48)-43-SUM($AM139:AP139)),0),0)</f>
        <v>0</v>
      </c>
      <c r="AR139" s="66">
        <f>IF(AR131&lt;&gt;"Dim",IF(SUM($AM136:AR136)&gt;43,(MIN(SUM($AM136:AR136),48)-43-SUM($AM139:AQ139)),0),0)</f>
        <v>0</v>
      </c>
      <c r="AS139" s="66">
        <f>IF(AS131&lt;&gt;"Dim",IF(SUM($AM136:AS136)&gt;43,(MIN(SUM($AM136:AS136),48)-43-SUM($AM139:AR139)),0),0)</f>
        <v>0</v>
      </c>
      <c r="AT139" s="60">
        <f t="shared" si="320"/>
        <v>0</v>
      </c>
      <c r="AU139" s="60"/>
      <c r="AV139" s="66">
        <f>IF(AV131&lt;&gt;"Dim",IF(AV136&gt;43,(MIN(AV136,48)-43),0),0)</f>
        <v>0</v>
      </c>
      <c r="AW139" s="66">
        <f>IF(AW131&lt;&gt;"Dim",IF(SUM($AV136:AW136)&gt;43,(MIN(SUM($AV136:AW136),48)-43-SUM($AV139:AV139)),0),0)</f>
        <v>0</v>
      </c>
      <c r="AX139" s="60">
        <f t="shared" si="310"/>
        <v>0</v>
      </c>
      <c r="AY139" s="60">
        <f t="shared" si="322"/>
        <v>0</v>
      </c>
    </row>
    <row r="140" spans="1:53" ht="15" customHeight="1" x14ac:dyDescent="0.25">
      <c r="A140" s="21" t="s">
        <v>7</v>
      </c>
      <c r="B140" s="81"/>
      <c r="C140" s="66">
        <f>IF(C131="Dim",C136,IF(C146="ferie",C136,0))</f>
        <v>0</v>
      </c>
      <c r="D140" s="66">
        <f t="shared" ref="D140:I140" si="329">IF(D131="Dim",D136,IF(D146="ferie",D136,0))</f>
        <v>0</v>
      </c>
      <c r="E140" s="66">
        <f t="shared" si="329"/>
        <v>0</v>
      </c>
      <c r="F140" s="66">
        <f t="shared" si="329"/>
        <v>0</v>
      </c>
      <c r="G140" s="66">
        <f t="shared" si="329"/>
        <v>0</v>
      </c>
      <c r="H140" s="66">
        <f t="shared" si="329"/>
        <v>0</v>
      </c>
      <c r="I140" s="66">
        <f t="shared" si="329"/>
        <v>0</v>
      </c>
      <c r="J140" s="60">
        <f t="shared" si="312"/>
        <v>0</v>
      </c>
      <c r="K140" s="60"/>
      <c r="L140" s="66">
        <f>IF(L131="Dim",L136,IF(L146="ferie",L136,0))</f>
        <v>0</v>
      </c>
      <c r="M140" s="66">
        <f t="shared" ref="M140:R140" si="330">IF(M131="Dim",M136,IF(M146="ferie",M136,0))</f>
        <v>0</v>
      </c>
      <c r="N140" s="66">
        <f t="shared" si="330"/>
        <v>0</v>
      </c>
      <c r="O140" s="66">
        <f t="shared" si="330"/>
        <v>0</v>
      </c>
      <c r="P140" s="66">
        <f t="shared" si="330"/>
        <v>0</v>
      </c>
      <c r="Q140" s="66">
        <f>IF(Q131="Dim",Q136,IF(Q146="ferie",Q136,0))</f>
        <v>0</v>
      </c>
      <c r="R140" s="66">
        <f t="shared" si="330"/>
        <v>0</v>
      </c>
      <c r="S140" s="60">
        <f t="shared" si="314"/>
        <v>0</v>
      </c>
      <c r="T140" s="60"/>
      <c r="U140" s="66">
        <f>IF(U131="Dim",U136,IF(U146="ferie",U136,0))</f>
        <v>0</v>
      </c>
      <c r="V140" s="66">
        <f t="shared" ref="V140:AA140" si="331">IF(V131="Dim",V136,IF(V146="ferie",V136,0))</f>
        <v>0</v>
      </c>
      <c r="W140" s="66">
        <f t="shared" si="331"/>
        <v>0</v>
      </c>
      <c r="X140" s="66">
        <f t="shared" si="331"/>
        <v>0</v>
      </c>
      <c r="Y140" s="66">
        <f t="shared" si="331"/>
        <v>0</v>
      </c>
      <c r="Z140" s="66">
        <f t="shared" si="331"/>
        <v>0</v>
      </c>
      <c r="AA140" s="66">
        <f t="shared" si="331"/>
        <v>0</v>
      </c>
      <c r="AB140" s="60">
        <f t="shared" si="316"/>
        <v>0</v>
      </c>
      <c r="AC140" s="60"/>
      <c r="AD140" s="66">
        <f>IF(AD131="Dim",AD136,IF(AD146="ferie",AD136,0))</f>
        <v>0</v>
      </c>
      <c r="AE140" s="66">
        <f t="shared" ref="AE140:AJ140" si="332">IF(AE131="Dim",AE136,IF(AE146="ferie",AE136,0))</f>
        <v>0</v>
      </c>
      <c r="AF140" s="66">
        <f t="shared" si="332"/>
        <v>0</v>
      </c>
      <c r="AG140" s="66">
        <f t="shared" si="332"/>
        <v>0</v>
      </c>
      <c r="AH140" s="66">
        <f t="shared" si="332"/>
        <v>0</v>
      </c>
      <c r="AI140" s="66">
        <f t="shared" si="332"/>
        <v>0</v>
      </c>
      <c r="AJ140" s="66">
        <f t="shared" si="332"/>
        <v>0</v>
      </c>
      <c r="AK140" s="60">
        <f t="shared" si="318"/>
        <v>0</v>
      </c>
      <c r="AL140" s="60"/>
      <c r="AM140" s="66">
        <f>IF(AM131="Dim",AM136,IF(AM146="ferie",AM136,0))</f>
        <v>0</v>
      </c>
      <c r="AN140" s="66">
        <f t="shared" ref="AN140:AW140" si="333">IF(AN131="Dim",AN136,IF(AN146="ferie",AN136,0))</f>
        <v>0</v>
      </c>
      <c r="AO140" s="66">
        <f t="shared" si="333"/>
        <v>0</v>
      </c>
      <c r="AP140" s="66">
        <f t="shared" si="333"/>
        <v>0</v>
      </c>
      <c r="AQ140" s="66">
        <f t="shared" si="333"/>
        <v>0</v>
      </c>
      <c r="AR140" s="66">
        <f t="shared" si="333"/>
        <v>0</v>
      </c>
      <c r="AS140" s="66">
        <f t="shared" si="333"/>
        <v>0</v>
      </c>
      <c r="AT140" s="60">
        <f>SUM(AM140:AS140)</f>
        <v>0</v>
      </c>
      <c r="AU140" s="60"/>
      <c r="AV140" s="66">
        <f>IF(AV131="Dim",AV136,IF(AV146="ferie",AV136,0))</f>
        <v>0</v>
      </c>
      <c r="AW140" s="66">
        <f t="shared" si="333"/>
        <v>0</v>
      </c>
      <c r="AX140" s="60">
        <f t="shared" si="310"/>
        <v>0</v>
      </c>
      <c r="AY140" s="60">
        <f t="shared" si="322"/>
        <v>0</v>
      </c>
    </row>
    <row r="141" spans="1:53" ht="15" customHeight="1" x14ac:dyDescent="0.25">
      <c r="A141" s="21" t="s">
        <v>8</v>
      </c>
      <c r="B141" s="81"/>
      <c r="C141" s="31"/>
      <c r="D141" s="31"/>
      <c r="E141" s="31"/>
      <c r="F141" s="31"/>
      <c r="G141" s="31"/>
      <c r="H141" s="31"/>
      <c r="I141" s="31"/>
      <c r="J141" s="60">
        <f t="shared" si="312"/>
        <v>0</v>
      </c>
      <c r="K141" s="60"/>
      <c r="L141" s="31"/>
      <c r="M141" s="31"/>
      <c r="N141" s="31"/>
      <c r="O141" s="31"/>
      <c r="P141" s="31"/>
      <c r="Q141" s="31"/>
      <c r="R141" s="31"/>
      <c r="S141" s="60">
        <f t="shared" si="314"/>
        <v>0</v>
      </c>
      <c r="T141" s="60"/>
      <c r="U141" s="31"/>
      <c r="V141" s="31"/>
      <c r="W141" s="31"/>
      <c r="X141" s="31"/>
      <c r="Y141" s="31"/>
      <c r="Z141" s="31"/>
      <c r="AA141" s="31"/>
      <c r="AB141" s="60">
        <f t="shared" si="316"/>
        <v>0</v>
      </c>
      <c r="AC141" s="60"/>
      <c r="AD141" s="31"/>
      <c r="AE141" s="31"/>
      <c r="AF141" s="31"/>
      <c r="AG141" s="31"/>
      <c r="AH141" s="31"/>
      <c r="AI141" s="31"/>
      <c r="AJ141" s="31"/>
      <c r="AK141" s="60">
        <f t="shared" si="318"/>
        <v>0</v>
      </c>
      <c r="AL141" s="60"/>
      <c r="AM141" s="31"/>
      <c r="AN141" s="31"/>
      <c r="AO141" s="31"/>
      <c r="AP141" s="31"/>
      <c r="AQ141" s="31"/>
      <c r="AR141" s="31"/>
      <c r="AS141" s="31"/>
      <c r="AT141" s="60">
        <f t="shared" si="320"/>
        <v>0</v>
      </c>
      <c r="AU141" s="60"/>
      <c r="AV141" s="31"/>
      <c r="AW141" s="31"/>
      <c r="AX141" s="60">
        <f t="shared" si="310"/>
        <v>0</v>
      </c>
      <c r="AY141" s="60">
        <f t="shared" si="322"/>
        <v>0</v>
      </c>
    </row>
    <row r="142" spans="1:53" ht="15" customHeight="1" x14ac:dyDescent="0.25">
      <c r="A142" s="36" t="s">
        <v>9</v>
      </c>
      <c r="B142" s="82"/>
      <c r="C142" s="31"/>
      <c r="D142" s="31"/>
      <c r="E142" s="31"/>
      <c r="F142" s="31"/>
      <c r="G142" s="31"/>
      <c r="H142" s="31"/>
      <c r="I142" s="31"/>
      <c r="J142" s="60">
        <f t="shared" si="312"/>
        <v>0</v>
      </c>
      <c r="K142" s="60"/>
      <c r="L142" s="31"/>
      <c r="M142" s="31"/>
      <c r="N142" s="31"/>
      <c r="O142" s="31"/>
      <c r="P142" s="31"/>
      <c r="Q142" s="31"/>
      <c r="R142" s="31"/>
      <c r="S142" s="60">
        <f t="shared" si="314"/>
        <v>0</v>
      </c>
      <c r="T142" s="60"/>
      <c r="U142" s="31"/>
      <c r="V142" s="31"/>
      <c r="W142" s="31"/>
      <c r="X142" s="31"/>
      <c r="Y142" s="31"/>
      <c r="Z142" s="31"/>
      <c r="AA142" s="31"/>
      <c r="AB142" s="60">
        <f t="shared" si="316"/>
        <v>0</v>
      </c>
      <c r="AC142" s="60"/>
      <c r="AD142" s="31"/>
      <c r="AE142" s="31"/>
      <c r="AF142" s="31"/>
      <c r="AG142" s="31"/>
      <c r="AH142" s="31"/>
      <c r="AI142" s="31"/>
      <c r="AJ142" s="31"/>
      <c r="AK142" s="60">
        <f t="shared" si="318"/>
        <v>0</v>
      </c>
      <c r="AL142" s="60"/>
      <c r="AM142" s="31"/>
      <c r="AN142" s="31"/>
      <c r="AO142" s="31"/>
      <c r="AP142" s="31"/>
      <c r="AQ142" s="31"/>
      <c r="AR142" s="31"/>
      <c r="AS142" s="31"/>
      <c r="AT142" s="60">
        <f t="shared" si="320"/>
        <v>0</v>
      </c>
      <c r="AU142" s="60"/>
      <c r="AV142" s="31"/>
      <c r="AW142" s="31"/>
      <c r="AX142" s="60">
        <f t="shared" ref="AX142:AX144" si="334">SUM(AV142:AW142)</f>
        <v>0</v>
      </c>
      <c r="AY142" s="60">
        <f t="shared" si="322"/>
        <v>0</v>
      </c>
    </row>
    <row r="143" spans="1:53" ht="15" customHeight="1" x14ac:dyDescent="0.25">
      <c r="A143" s="21" t="s">
        <v>11</v>
      </c>
      <c r="B143" s="81"/>
      <c r="C143" s="31"/>
      <c r="D143" s="31"/>
      <c r="E143" s="31"/>
      <c r="F143" s="31"/>
      <c r="G143" s="31"/>
      <c r="H143" s="31"/>
      <c r="I143" s="31"/>
      <c r="J143" s="60">
        <f t="shared" si="312"/>
        <v>0</v>
      </c>
      <c r="K143" s="60"/>
      <c r="L143" s="31"/>
      <c r="M143" s="31"/>
      <c r="N143" s="31"/>
      <c r="O143" s="31"/>
      <c r="P143" s="31"/>
      <c r="Q143" s="31"/>
      <c r="R143" s="31"/>
      <c r="S143" s="60">
        <f t="shared" si="314"/>
        <v>0</v>
      </c>
      <c r="T143" s="60"/>
      <c r="U143" s="31"/>
      <c r="V143" s="31"/>
      <c r="W143" s="31"/>
      <c r="X143" s="31"/>
      <c r="Y143" s="31"/>
      <c r="Z143" s="31"/>
      <c r="AA143" s="31"/>
      <c r="AB143" s="60">
        <f t="shared" si="316"/>
        <v>0</v>
      </c>
      <c r="AC143" s="60"/>
      <c r="AD143" s="31"/>
      <c r="AE143" s="31"/>
      <c r="AF143" s="31"/>
      <c r="AG143" s="31"/>
      <c r="AH143" s="31"/>
      <c r="AI143" s="31"/>
      <c r="AJ143" s="31"/>
      <c r="AK143" s="60">
        <f t="shared" si="318"/>
        <v>0</v>
      </c>
      <c r="AL143" s="60"/>
      <c r="AM143" s="31"/>
      <c r="AN143" s="31"/>
      <c r="AO143" s="31"/>
      <c r="AP143" s="31"/>
      <c r="AQ143" s="31"/>
      <c r="AR143" s="31"/>
      <c r="AS143" s="31"/>
      <c r="AT143" s="60">
        <f t="shared" si="320"/>
        <v>0</v>
      </c>
      <c r="AU143" s="60"/>
      <c r="AV143" s="31"/>
      <c r="AW143" s="31"/>
      <c r="AX143" s="60">
        <f t="shared" si="334"/>
        <v>0</v>
      </c>
      <c r="AY143" s="60">
        <f t="shared" si="322"/>
        <v>0</v>
      </c>
    </row>
    <row r="144" spans="1:53" ht="15" customHeight="1" x14ac:dyDescent="0.25">
      <c r="A144" s="36" t="s">
        <v>10</v>
      </c>
      <c r="B144" s="82"/>
      <c r="C144" s="31"/>
      <c r="D144" s="31"/>
      <c r="E144" s="31"/>
      <c r="F144" s="31"/>
      <c r="G144" s="31"/>
      <c r="H144" s="31"/>
      <c r="I144" s="31"/>
      <c r="J144" s="60">
        <f t="shared" si="312"/>
        <v>0</v>
      </c>
      <c r="K144" s="60"/>
      <c r="L144" s="31"/>
      <c r="M144" s="31"/>
      <c r="N144" s="31"/>
      <c r="O144" s="31"/>
      <c r="P144" s="31"/>
      <c r="Q144" s="31"/>
      <c r="R144" s="31"/>
      <c r="S144" s="60">
        <f t="shared" si="314"/>
        <v>0</v>
      </c>
      <c r="T144" s="60"/>
      <c r="U144" s="31"/>
      <c r="V144" s="31"/>
      <c r="W144" s="31"/>
      <c r="X144" s="31"/>
      <c r="Y144" s="31"/>
      <c r="Z144" s="31"/>
      <c r="AA144" s="31"/>
      <c r="AB144" s="60">
        <f t="shared" si="316"/>
        <v>0</v>
      </c>
      <c r="AC144" s="60"/>
      <c r="AD144" s="31"/>
      <c r="AE144" s="31"/>
      <c r="AF144" s="31"/>
      <c r="AG144" s="31"/>
      <c r="AH144" s="31"/>
      <c r="AI144" s="31"/>
      <c r="AJ144" s="31"/>
      <c r="AK144" s="60">
        <f t="shared" si="318"/>
        <v>0</v>
      </c>
      <c r="AL144" s="60"/>
      <c r="AM144" s="31"/>
      <c r="AN144" s="31"/>
      <c r="AO144" s="31"/>
      <c r="AP144" s="31"/>
      <c r="AQ144" s="31"/>
      <c r="AR144" s="31"/>
      <c r="AS144" s="31"/>
      <c r="AT144" s="60">
        <f t="shared" si="320"/>
        <v>0</v>
      </c>
      <c r="AU144" s="60"/>
      <c r="AV144" s="31"/>
      <c r="AW144" s="31"/>
      <c r="AX144" s="60">
        <f t="shared" si="334"/>
        <v>0</v>
      </c>
      <c r="AY144" s="60">
        <f t="shared" si="322"/>
        <v>0</v>
      </c>
    </row>
    <row r="145" spans="1:58" s="33" customFormat="1" ht="15" customHeight="1" x14ac:dyDescent="0.25">
      <c r="A145" s="36" t="s">
        <v>44</v>
      </c>
      <c r="B145" s="82"/>
      <c r="C145" s="60">
        <f>IF(C133="nuit",C136*0.02,0)</f>
        <v>0</v>
      </c>
      <c r="D145" s="60">
        <f>IF(D133="nuit",D136*0.02,0)</f>
        <v>0</v>
      </c>
      <c r="E145" s="60">
        <f t="shared" ref="E145:I145" si="335">IF(E133="nuit",E136*0.02,0)</f>
        <v>0</v>
      </c>
      <c r="F145" s="60">
        <f t="shared" si="335"/>
        <v>0</v>
      </c>
      <c r="G145" s="60">
        <f>IF(G133="nuit",G136*0.02,0)</f>
        <v>0</v>
      </c>
      <c r="H145" s="60">
        <f t="shared" si="335"/>
        <v>0</v>
      </c>
      <c r="I145" s="60">
        <f t="shared" si="335"/>
        <v>0</v>
      </c>
      <c r="J145" s="60">
        <f t="shared" si="312"/>
        <v>0</v>
      </c>
      <c r="K145" s="60"/>
      <c r="L145" s="60">
        <f>IF(L133="nuit",L136*0.02,0)</f>
        <v>0</v>
      </c>
      <c r="M145" s="60">
        <f>IF(M133="nuit",M136*0.02,0)</f>
        <v>0</v>
      </c>
      <c r="N145" s="60">
        <f t="shared" ref="N145:R145" si="336">IF(N133="nuit",N136*0.02,0)</f>
        <v>0</v>
      </c>
      <c r="O145" s="60">
        <f t="shared" si="336"/>
        <v>0</v>
      </c>
      <c r="P145" s="60">
        <f>IF(P133="nuit",P136*0.02,0)</f>
        <v>0</v>
      </c>
      <c r="Q145" s="60">
        <f t="shared" si="336"/>
        <v>0</v>
      </c>
      <c r="R145" s="60">
        <f t="shared" si="336"/>
        <v>0</v>
      </c>
      <c r="S145" s="60">
        <f t="shared" si="314"/>
        <v>0</v>
      </c>
      <c r="T145" s="60"/>
      <c r="U145" s="60">
        <f>IF(U133="nuit",U136*0.02,0)</f>
        <v>0</v>
      </c>
      <c r="V145" s="60">
        <f>IF(V133="nuit",V136*0.02,0)</f>
        <v>0</v>
      </c>
      <c r="W145" s="60">
        <f t="shared" ref="W145:AA145" si="337">IF(W133="nuit",W136*0.02,0)</f>
        <v>0</v>
      </c>
      <c r="X145" s="60">
        <f t="shared" si="337"/>
        <v>0</v>
      </c>
      <c r="Y145" s="60">
        <f>IF(Y133="nuit",Y136*0.02,0)</f>
        <v>0</v>
      </c>
      <c r="Z145" s="60">
        <f t="shared" si="337"/>
        <v>0</v>
      </c>
      <c r="AA145" s="60">
        <f t="shared" si="337"/>
        <v>0</v>
      </c>
      <c r="AB145" s="60">
        <f t="shared" si="316"/>
        <v>0</v>
      </c>
      <c r="AC145" s="60"/>
      <c r="AD145" s="60">
        <f>IF(AD133="nuit",AD136*0.02,0)</f>
        <v>0</v>
      </c>
      <c r="AE145" s="60">
        <f>IF(AE133="nuit",AE136*0.02,0)</f>
        <v>0</v>
      </c>
      <c r="AF145" s="60">
        <f t="shared" ref="AF145:AJ145" si="338">IF(AF133="nuit",AF136*0.02,0)</f>
        <v>0</v>
      </c>
      <c r="AG145" s="60">
        <f t="shared" si="338"/>
        <v>0</v>
      </c>
      <c r="AH145" s="60">
        <f>IF(AH133="nuit",AH136*0.02,0)</f>
        <v>0</v>
      </c>
      <c r="AI145" s="60">
        <f t="shared" si="338"/>
        <v>0</v>
      </c>
      <c r="AJ145" s="60">
        <f t="shared" si="338"/>
        <v>0</v>
      </c>
      <c r="AK145" s="60">
        <f t="shared" si="318"/>
        <v>0</v>
      </c>
      <c r="AL145" s="60"/>
      <c r="AM145" s="60">
        <f>IF(AM133="nuit",AM136*0.02,0)</f>
        <v>0</v>
      </c>
      <c r="AN145" s="60">
        <f>IF(AN133="nuit",AN136*0.02,0)</f>
        <v>0</v>
      </c>
      <c r="AO145" s="60">
        <f t="shared" ref="AO145:AS145" si="339">IF(AO133="nuit",AO136*0.02,0)</f>
        <v>0</v>
      </c>
      <c r="AP145" s="60">
        <f t="shared" si="339"/>
        <v>0</v>
      </c>
      <c r="AQ145" s="60">
        <f>IF(AQ133="nuit",AQ136*0.02,0)</f>
        <v>0</v>
      </c>
      <c r="AR145" s="60">
        <f t="shared" si="339"/>
        <v>0</v>
      </c>
      <c r="AS145" s="60">
        <f t="shared" si="339"/>
        <v>0</v>
      </c>
      <c r="AT145" s="60">
        <f t="shared" si="320"/>
        <v>0</v>
      </c>
      <c r="AU145" s="60"/>
      <c r="AV145" s="60">
        <f>IF(AV133="nuit",AV136*0.02,0)</f>
        <v>0</v>
      </c>
      <c r="AW145" s="60">
        <f>IF(AW133="nuit",AW136*0.02,0)</f>
        <v>0</v>
      </c>
      <c r="AX145" s="60">
        <f>SUM(AV145:AW145)</f>
        <v>0</v>
      </c>
      <c r="AY145" s="60">
        <f>J145+S145+AB145+AK145+AT145+AX145</f>
        <v>0</v>
      </c>
      <c r="AZ145" s="52"/>
      <c r="BA145" s="52"/>
      <c r="BB145" s="52"/>
      <c r="BC145" s="52"/>
      <c r="BD145" s="52"/>
      <c r="BE145" s="52"/>
      <c r="BF145" s="35"/>
    </row>
    <row r="146" spans="1:58" ht="15" customHeight="1" x14ac:dyDescent="0.25">
      <c r="A146" s="21" t="s">
        <v>31</v>
      </c>
      <c r="B146" s="81"/>
      <c r="C146" s="31"/>
      <c r="D146" s="31"/>
      <c r="E146" s="31"/>
      <c r="F146" s="31"/>
      <c r="G146" s="31"/>
      <c r="H146" s="37"/>
      <c r="I146" s="37"/>
      <c r="J146" s="64"/>
      <c r="K146" s="64"/>
      <c r="L146" s="37"/>
      <c r="M146" s="37"/>
      <c r="N146" s="37"/>
      <c r="O146" s="37"/>
      <c r="P146" s="37"/>
      <c r="Q146" s="37"/>
      <c r="R146" s="37"/>
      <c r="S146" s="64"/>
      <c r="T146" s="64"/>
      <c r="U146" s="37"/>
      <c r="V146" s="37"/>
      <c r="W146" s="37"/>
      <c r="X146" s="37"/>
      <c r="Y146" s="37"/>
      <c r="Z146" s="37"/>
      <c r="AA146" s="37"/>
      <c r="AB146" s="64"/>
      <c r="AC146" s="64"/>
      <c r="AD146" s="37"/>
      <c r="AE146" s="37"/>
      <c r="AF146" s="37"/>
      <c r="AG146" s="37"/>
      <c r="AH146" s="37"/>
      <c r="AI146" s="37"/>
      <c r="AJ146" s="37"/>
      <c r="AK146" s="64"/>
      <c r="AL146" s="64"/>
      <c r="AM146" s="37"/>
      <c r="AN146" s="37"/>
      <c r="AO146" s="37"/>
      <c r="AP146" s="37"/>
      <c r="AQ146" s="37"/>
      <c r="AR146" s="37"/>
      <c r="AS146" s="37"/>
      <c r="AT146" s="64"/>
      <c r="AU146" s="64"/>
      <c r="AV146" s="37"/>
      <c r="AW146" s="37"/>
      <c r="AX146" s="64"/>
      <c r="AY146" s="65"/>
    </row>
    <row r="147" spans="1:58" ht="15" customHeight="1" x14ac:dyDescent="0.25">
      <c r="A147" s="38"/>
      <c r="B147" s="38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69"/>
    </row>
    <row r="148" spans="1:58" ht="27.6" x14ac:dyDescent="0.25">
      <c r="A148" s="21"/>
      <c r="B148" s="21"/>
      <c r="C148" s="24" t="s">
        <v>27</v>
      </c>
      <c r="D148" s="24"/>
      <c r="E148" s="24"/>
      <c r="F148" s="24"/>
      <c r="G148" s="24"/>
      <c r="H148" s="95">
        <f>Année_Calendaire</f>
        <v>2016</v>
      </c>
      <c r="I148" s="95"/>
      <c r="J148" s="49"/>
      <c r="K148" s="79"/>
      <c r="L148" s="31"/>
      <c r="M148" s="31"/>
      <c r="N148" s="31"/>
      <c r="O148" s="31"/>
      <c r="P148" s="31"/>
      <c r="Q148" s="31"/>
      <c r="R148" s="31"/>
      <c r="S148" s="49"/>
      <c r="T148" s="79"/>
      <c r="U148" s="24" t="s">
        <v>27</v>
      </c>
      <c r="V148" s="24"/>
      <c r="W148" s="24"/>
      <c r="X148" s="24"/>
      <c r="Y148" s="24"/>
      <c r="Z148" s="95">
        <f>Année_Calendaire</f>
        <v>2016</v>
      </c>
      <c r="AA148" s="95"/>
      <c r="AB148" s="49"/>
      <c r="AC148" s="79"/>
      <c r="AD148" s="31"/>
      <c r="AE148" s="31"/>
      <c r="AF148" s="31"/>
      <c r="AG148" s="31"/>
      <c r="AH148" s="31"/>
      <c r="AI148" s="31"/>
      <c r="AJ148" s="31"/>
      <c r="AK148" s="49"/>
      <c r="AL148" s="79"/>
      <c r="AM148" s="24" t="s">
        <v>27</v>
      </c>
      <c r="AN148" s="24"/>
      <c r="AO148" s="24"/>
      <c r="AP148" s="24"/>
      <c r="AQ148" s="24"/>
      <c r="AR148" s="95">
        <f>Année_Calendaire</f>
        <v>2016</v>
      </c>
      <c r="AS148" s="95"/>
      <c r="AT148" s="49"/>
      <c r="AU148" s="79"/>
      <c r="AV148" s="31"/>
      <c r="AW148" s="31"/>
      <c r="AX148" s="49"/>
    </row>
    <row r="149" spans="1:58" ht="29.25" customHeight="1" x14ac:dyDescent="0.25">
      <c r="A149" s="31"/>
      <c r="B149" s="31"/>
      <c r="C149" s="62" t="s">
        <v>13</v>
      </c>
      <c r="D149" s="62" t="s">
        <v>14</v>
      </c>
      <c r="E149" s="62" t="s">
        <v>15</v>
      </c>
      <c r="F149" s="62" t="s">
        <v>16</v>
      </c>
      <c r="G149" s="62" t="s">
        <v>17</v>
      </c>
      <c r="H149" s="62" t="s">
        <v>18</v>
      </c>
      <c r="I149" s="62" t="s">
        <v>19</v>
      </c>
      <c r="J149" s="96" t="s">
        <v>32</v>
      </c>
      <c r="K149" s="85"/>
      <c r="L149" s="62" t="s">
        <v>13</v>
      </c>
      <c r="M149" s="62" t="s">
        <v>14</v>
      </c>
      <c r="N149" s="62" t="s">
        <v>15</v>
      </c>
      <c r="O149" s="62" t="s">
        <v>16</v>
      </c>
      <c r="P149" s="62" t="s">
        <v>17</v>
      </c>
      <c r="Q149" s="62" t="s">
        <v>18</v>
      </c>
      <c r="R149" s="62" t="s">
        <v>19</v>
      </c>
      <c r="S149" s="96" t="s">
        <v>32</v>
      </c>
      <c r="T149" s="85"/>
      <c r="U149" s="62" t="s">
        <v>13</v>
      </c>
      <c r="V149" s="62" t="s">
        <v>14</v>
      </c>
      <c r="W149" s="62" t="s">
        <v>15</v>
      </c>
      <c r="X149" s="62" t="s">
        <v>16</v>
      </c>
      <c r="Y149" s="62" t="s">
        <v>17</v>
      </c>
      <c r="Z149" s="62" t="s">
        <v>18</v>
      </c>
      <c r="AA149" s="62" t="s">
        <v>19</v>
      </c>
      <c r="AB149" s="96" t="s">
        <v>32</v>
      </c>
      <c r="AC149" s="85"/>
      <c r="AD149" s="62" t="s">
        <v>13</v>
      </c>
      <c r="AE149" s="62" t="s">
        <v>14</v>
      </c>
      <c r="AF149" s="62" t="s">
        <v>15</v>
      </c>
      <c r="AG149" s="62" t="s">
        <v>16</v>
      </c>
      <c r="AH149" s="62" t="s">
        <v>17</v>
      </c>
      <c r="AI149" s="62" t="s">
        <v>18</v>
      </c>
      <c r="AJ149" s="62" t="s">
        <v>19</v>
      </c>
      <c r="AK149" s="96" t="s">
        <v>32</v>
      </c>
      <c r="AL149" s="85"/>
      <c r="AM149" s="62" t="s">
        <v>13</v>
      </c>
      <c r="AN149" s="62" t="s">
        <v>14</v>
      </c>
      <c r="AO149" s="62" t="s">
        <v>15</v>
      </c>
      <c r="AP149" s="62" t="s">
        <v>16</v>
      </c>
      <c r="AQ149" s="62" t="s">
        <v>17</v>
      </c>
      <c r="AR149" s="62" t="s">
        <v>18</v>
      </c>
      <c r="AS149" s="62" t="s">
        <v>19</v>
      </c>
      <c r="AT149" s="96" t="s">
        <v>32</v>
      </c>
      <c r="AU149" s="85" t="s">
        <v>79</v>
      </c>
      <c r="AV149" s="62" t="s">
        <v>13</v>
      </c>
      <c r="AW149" s="62" t="s">
        <v>14</v>
      </c>
      <c r="AX149" s="96" t="s">
        <v>32</v>
      </c>
      <c r="AY149" s="96" t="s">
        <v>35</v>
      </c>
      <c r="AZ149" s="97">
        <f>AY156+AY157+AY158</f>
        <v>0</v>
      </c>
      <c r="BA149" s="97">
        <f>AZ149+BA131</f>
        <v>10</v>
      </c>
    </row>
    <row r="150" spans="1:58" ht="15" customHeight="1" x14ac:dyDescent="0.25">
      <c r="A150" s="48"/>
      <c r="B150" s="83"/>
      <c r="C150" s="67" t="str">
        <f>IF(DAY(Sep_Dim1)=1,"",IF(AND(YEAR(Sep_Dim1+1)=Année_Calendaire,MONTH(Sep_Dim1+1)=9),Sep_Dim1+1,""))</f>
        <v/>
      </c>
      <c r="D150" s="67" t="str">
        <f>IF(DAY(Sep_Dim1)=1,"",IF(AND(YEAR(Sep_Dim1+2)=Année_Calendaire,MONTH(Sep_Dim1+2)=9),Sep_Dim1+2,""))</f>
        <v/>
      </c>
      <c r="E150" s="67" t="str">
        <f>IF(DAY(Sep_Dim1)=1,"",IF(AND(YEAR(Sep_Dim1+3)=Année_Calendaire,MONTH(Sep_Dim1+3)=9),Sep_Dim1+3,""))</f>
        <v/>
      </c>
      <c r="F150" s="67">
        <f>IF(DAY(Sep_Dim1)=1,"",IF(AND(YEAR(Sep_Dim1+4)=Année_Calendaire,MONTH(Sep_Dim1+4)=9),Sep_Dim1+4,""))</f>
        <v>42614</v>
      </c>
      <c r="G150" s="67">
        <f>IF(DAY(Sep_Dim1)=1,"",IF(AND(YEAR(Sep_Dim1+5)=Année_Calendaire,MONTH(Sep_Dim1+5)=9),Sep_Dim1+5,""))</f>
        <v>42615</v>
      </c>
      <c r="H150" s="67">
        <f>IF(DAY(Sep_Dim1)=1,"",IF(AND(YEAR(Sep_Dim1+6)=Année_Calendaire,MONTH(Sep_Dim1+6)=9),Sep_Dim1+6,""))</f>
        <v>42616</v>
      </c>
      <c r="I150" s="67">
        <f>IF(DAY(Sep_Dim1)=1,IF(AND(YEAR(Sep_Dim1)=Année_Calendaire,MONTH(Sep_Dim1)=9),Sep_Dim1,""),IF(AND(YEAR(Sep_Dim1+7)=Année_Calendaire,MONTH(Sep_Dim1+7)=9),Sep_Dim1+7,""))</f>
        <v>42617</v>
      </c>
      <c r="J150" s="96"/>
      <c r="K150" s="78"/>
      <c r="L150" s="67">
        <f>IF(DAY(Sep_Dim1)=1,IF(AND(YEAR(Sep_Dim1+1)=Année_Calendaire,MONTH(Sep_Dim1+1)=9),Sep_Dim1+1,""),IF(AND(YEAR(Sep_Dim1+8)=Année_Calendaire,MONTH(Sep_Dim1+8)=9),Sep_Dim1+8,""))</f>
        <v>42618</v>
      </c>
      <c r="M150" s="67">
        <f>IF(DAY(Sep_Dim1)=1,IF(AND(YEAR(Sep_Dim1+2)=Année_Calendaire,MONTH(Sep_Dim1+2)=9),Sep_Dim1+2,""),IF(AND(YEAR(Sep_Dim1+9)=Année_Calendaire,MONTH(Sep_Dim1+9)=9),Sep_Dim1+9,""))</f>
        <v>42619</v>
      </c>
      <c r="N150" s="67">
        <f>IF(DAY(Sep_Dim1)=1,IF(AND(YEAR(Sep_Dim1+3)=Année_Calendaire,MONTH(Sep_Dim1+3)=9),Sep_Dim1+3,""),IF(AND(YEAR(Sep_Dim1+10)=Année_Calendaire,MONTH(Sep_Dim1+10)=9),Sep_Dim1+10,""))</f>
        <v>42620</v>
      </c>
      <c r="O150" s="67">
        <f>IF(DAY(Sep_Dim1)=1,IF(AND(YEAR(Sep_Dim1+4)=Année_Calendaire,MONTH(Sep_Dim1+4)=9),Sep_Dim1+4,""),IF(AND(YEAR(Sep_Dim1+11)=Année_Calendaire,MONTH(Sep_Dim1+11)=9),Sep_Dim1+11,""))</f>
        <v>42621</v>
      </c>
      <c r="P150" s="67">
        <f>IF(DAY(Sep_Dim1)=1,IF(AND(YEAR(Sep_Dim1+5)=Année_Calendaire,MONTH(Sep_Dim1+5)=9),Sep_Dim1+5,""),IF(AND(YEAR(Sep_Dim1+12)=Année_Calendaire,MONTH(Sep_Dim1+12)=9),Sep_Dim1+12,""))</f>
        <v>42622</v>
      </c>
      <c r="Q150" s="67">
        <f>IF(DAY(Sep_Dim1)=1,IF(AND(YEAR(Sep_Dim1+6)=Année_Calendaire,MONTH(Sep_Dim1+6)=9),Sep_Dim1+6,""),IF(AND(YEAR(Sep_Dim1+13)=Année_Calendaire,MONTH(Sep_Dim1+13)=9),Sep_Dim1+13,""))</f>
        <v>42623</v>
      </c>
      <c r="R150" s="67">
        <f>IF(DAY(Sep_Dim1)=1,IF(AND(YEAR(Sep_Dim1+7)=Année_Calendaire,MONTH(Sep_Dim1+7)=9),Sep_Dim1+7,""),IF(AND(YEAR(Sep_Dim1+14)=Année_Calendaire,MONTH(Sep_Dim1+14)=9),Sep_Dim1+14,""))</f>
        <v>42624</v>
      </c>
      <c r="S150" s="96"/>
      <c r="T150" s="78"/>
      <c r="U150" s="67">
        <f>IF(DAY(Sep_Dim1)=1,IF(AND(YEAR(Sep_Dim1+8)=Année_Calendaire,MONTH(Sep_Dim1+8)=9),Sep_Dim1+8,""),IF(AND(YEAR(Sep_Dim1+15)=Année_Calendaire,MONTH(Sep_Dim1+15)=9),Sep_Dim1+15,""))</f>
        <v>42625</v>
      </c>
      <c r="V150" s="67">
        <f>IF(DAY(Sep_Dim1)=1,IF(AND(YEAR(Sep_Dim1+9)=Année_Calendaire,MONTH(Sep_Dim1+9)=9),Sep_Dim1+9,""),IF(AND(YEAR(Sep_Dim1+16)=Année_Calendaire,MONTH(Sep_Dim1+16)=9),Sep_Dim1+16,""))</f>
        <v>42626</v>
      </c>
      <c r="W150" s="67">
        <f>IF(DAY(Sep_Dim1)=1,IF(AND(YEAR(Sep_Dim1+10)=Année_Calendaire,MONTH(Sep_Dim1+10)=9),Sep_Dim1+10,""),IF(AND(YEAR(Sep_Dim1+17)=Année_Calendaire,MONTH(Sep_Dim1+17)=9),Sep_Dim1+17,""))</f>
        <v>42627</v>
      </c>
      <c r="X150" s="67">
        <f>IF(DAY(Sep_Dim1)=1,IF(AND(YEAR(Sep_Dim1+11)=Année_Calendaire,MONTH(Sep_Dim1+11)=9),Sep_Dim1+11,""),IF(AND(YEAR(Sep_Dim1+18)=Année_Calendaire,MONTH(Sep_Dim1+18)=9),Sep_Dim1+18,""))</f>
        <v>42628</v>
      </c>
      <c r="Y150" s="67">
        <f>IF(DAY(Sep_Dim1)=1,IF(AND(YEAR(Sep_Dim1+12)=Année_Calendaire,MONTH(Sep_Dim1+12)=9),Sep_Dim1+12,""),IF(AND(YEAR(Sep_Dim1+19)=Année_Calendaire,MONTH(Sep_Dim1+19)=9),Sep_Dim1+19,""))</f>
        <v>42629</v>
      </c>
      <c r="Z150" s="67">
        <f>IF(DAY(Sep_Dim1)=1,IF(AND(YEAR(Sep_Dim1+13)=Année_Calendaire,MONTH(Sep_Dim1+13)=9),Sep_Dim1+13,""),IF(AND(YEAR(Sep_Dim1+20)=Année_Calendaire,MONTH(Sep_Dim1+20)=9),Sep_Dim1+20,""))</f>
        <v>42630</v>
      </c>
      <c r="AA150" s="67">
        <f>IF(DAY(Sep_Dim1)=1,IF(AND(YEAR(Sep_Dim1+14)=Année_Calendaire,MONTH(Sep_Dim1+14)=9),Sep_Dim1+14,""),IF(AND(YEAR(Sep_Dim1+21)=Année_Calendaire,MONTH(Sep_Dim1+21)=9),Sep_Dim1+21,""))</f>
        <v>42631</v>
      </c>
      <c r="AB150" s="96"/>
      <c r="AC150" s="78"/>
      <c r="AD150" s="67">
        <f>IF(DAY(Sep_Dim1)=1,IF(AND(YEAR(Sep_Dim1+15)=Année_Calendaire,MONTH(Sep_Dim1+15)=9),Sep_Dim1+15,""),IF(AND(YEAR(Sep_Dim1+22)=Année_Calendaire,MONTH(Sep_Dim1+22)=9),Sep_Dim1+22,""))</f>
        <v>42632</v>
      </c>
      <c r="AE150" s="67">
        <f>IF(DAY(Sep_Dim1)=1,IF(AND(YEAR(Sep_Dim1+16)=Année_Calendaire,MONTH(Sep_Dim1+16)=9),Sep_Dim1+16,""),IF(AND(YEAR(Sep_Dim1+23)=Année_Calendaire,MONTH(Sep_Dim1+23)=9),Sep_Dim1+23,""))</f>
        <v>42633</v>
      </c>
      <c r="AF150" s="67">
        <f>IF(DAY(Sep_Dim1)=1,IF(AND(YEAR(Sep_Dim1+17)=Année_Calendaire,MONTH(Sep_Dim1+17)=9),Sep_Dim1+17,""),IF(AND(YEAR(Sep_Dim1+24)=Année_Calendaire,MONTH(Sep_Dim1+24)=9),Sep_Dim1+24,""))</f>
        <v>42634</v>
      </c>
      <c r="AG150" s="67">
        <f>IF(DAY(Sep_Dim1)=1,IF(AND(YEAR(Sep_Dim1+18)=Année_Calendaire,MONTH(Sep_Dim1+18)=9),Sep_Dim1+18,""),IF(AND(YEAR(Sep_Dim1+25)=Année_Calendaire,MONTH(Sep_Dim1+25)=9),Sep_Dim1+25,""))</f>
        <v>42635</v>
      </c>
      <c r="AH150" s="67">
        <f>IF(DAY(Sep_Dim1)=1,IF(AND(YEAR(Sep_Dim1+19)=Année_Calendaire,MONTH(Sep_Dim1+19)=9),Sep_Dim1+19,""),IF(AND(YEAR(Sep_Dim1+26)=Année_Calendaire,MONTH(Sep_Dim1+26)=9),Sep_Dim1+26,""))</f>
        <v>42636</v>
      </c>
      <c r="AI150" s="67">
        <f>IF(DAY(Sep_Dim1)=1,IF(AND(YEAR(Sep_Dim1+20)=Année_Calendaire,MONTH(Sep_Dim1+20)=9),Sep_Dim1+20,""),IF(AND(YEAR(Sep_Dim1+27)=Année_Calendaire,MONTH(Sep_Dim1+27)=9),Sep_Dim1+27,""))</f>
        <v>42637</v>
      </c>
      <c r="AJ150" s="67">
        <f>IF(DAY(Sep_Dim1)=1,IF(AND(YEAR(Sep_Dim1+21)=Année_Calendaire,MONTH(Sep_Dim1+21)=9),Sep_Dim1+21,""),IF(AND(YEAR(Sep_Dim1+28)=Année_Calendaire,MONTH(Sep_Dim1+28)=9),Sep_Dim1+28,""))</f>
        <v>42638</v>
      </c>
      <c r="AK150" s="96"/>
      <c r="AL150" s="78"/>
      <c r="AM150" s="67">
        <f>IF(DAY(Sep_Dim1)=1,IF(AND(YEAR(Sep_Dim1+22)=Année_Calendaire,MONTH(Sep_Dim1+22)=9),Sep_Dim1+22,""),IF(AND(YEAR(Sep_Dim1+29)=Année_Calendaire,MONTH(Sep_Dim1+29)=9),Sep_Dim1+29,""))</f>
        <v>42639</v>
      </c>
      <c r="AN150" s="67">
        <f>IF(DAY(Sep_Dim1)=1,IF(AND(YEAR(Sep_Dim1+23)=Année_Calendaire,MONTH(Sep_Dim1+23)=9),Sep_Dim1+23,""),IF(AND(YEAR(Sep_Dim1+30)=Année_Calendaire,MONTH(Sep_Dim1+30)=9),Sep_Dim1+30,""))</f>
        <v>42640</v>
      </c>
      <c r="AO150" s="67">
        <f>IF(DAY(Sep_Dim1)=1,IF(AND(YEAR(Sep_Dim1+24)=Année_Calendaire,MONTH(Sep_Dim1+24)=9),Sep_Dim1+24,""),IF(AND(YEAR(Sep_Dim1+31)=Année_Calendaire,MONTH(Sep_Dim1+31)=9),Sep_Dim1+31,""))</f>
        <v>42641</v>
      </c>
      <c r="AP150" s="67">
        <f>IF(DAY(Sep_Dim1)=1,IF(AND(YEAR(Sep_Dim1+25)=Année_Calendaire,MONTH(Sep_Dim1+25)=9),Sep_Dim1+25,""),IF(AND(YEAR(Sep_Dim1+32)=Année_Calendaire,MONTH(Sep_Dim1+32)=9),Sep_Dim1+32,""))</f>
        <v>42642</v>
      </c>
      <c r="AQ150" s="67">
        <f>IF(DAY(Sep_Dim1)=1,IF(AND(YEAR(Sep_Dim1+26)=Année_Calendaire,MONTH(Sep_Dim1+26)=9),Sep_Dim1+26,""),IF(AND(YEAR(Sep_Dim1+33)=Année_Calendaire,MONTH(Sep_Dim1+33)=9),Sep_Dim1+33,""))</f>
        <v>42643</v>
      </c>
      <c r="AR150" s="67" t="str">
        <f>IF(DAY(Sep_Dim1)=1,IF(AND(YEAR(Sep_Dim1+27)=Année_Calendaire,MONTH(Sep_Dim1+27)=9),Sep_Dim1+27,""),IF(AND(YEAR(Sep_Dim1+34)=Année_Calendaire,MONTH(Sep_Dim1+34)=9),Sep_Dim1+34,""))</f>
        <v/>
      </c>
      <c r="AS150" s="67" t="str">
        <f>IF(DAY(Sep_Dim1)=1,IF(AND(YEAR(Sep_Dim1+28)=Année_Calendaire,MONTH(Sep_Dim1+28)=9),Sep_Dim1+28,""),IF(AND(YEAR(Sep_Dim1+35)=Année_Calendaire,MONTH(Sep_Dim1+35)=9),Sep_Dim1+35,""))</f>
        <v/>
      </c>
      <c r="AT150" s="96"/>
      <c r="AU150" s="78"/>
      <c r="AV150" s="61" t="str">
        <f>IF(DAY(Sep_Dim1)=1,IF(AND(YEAR(Sep_Dim1+29)=Année_Calendaire,MONTH(Sep_Dim1+29)=9),Sep_Dim1+29,""),IF(AND(YEAR(Sep_Dim1+36)=Année_Calendaire,MONTH(Sep_Dim1+36)=9),Sep_Dim1+36,""))</f>
        <v/>
      </c>
      <c r="AW150" s="61" t="str">
        <f>IF(DAY(Sep_Dim1)=1,IF(AND(YEAR(Sep_Dim1+30)=Année_Calendaire,MONTH(Sep_Dim1+30)=9),Sep_Dim1+30,""),IF(AND(YEAR(Sep_Dim1+37)=Année_Calendaire,MONTH(Sep_Dim1+37)=9),Sep_Dim1+37,""))</f>
        <v/>
      </c>
      <c r="AX150" s="96"/>
      <c r="AY150" s="96"/>
      <c r="AZ150" s="97"/>
      <c r="BA150" s="97"/>
    </row>
    <row r="151" spans="1:58" ht="15" customHeight="1" x14ac:dyDescent="0.25">
      <c r="A151" s="21" t="s">
        <v>2</v>
      </c>
      <c r="B151" s="81"/>
      <c r="C151" s="60">
        <f>IFERROR(VLOOKUP(B149,DATA!$A:$H,2,TRUE),0)</f>
        <v>0</v>
      </c>
      <c r="D151" s="60">
        <f>IFERROR(VLOOKUP(B149,DATA!$A:$H,3,TRUE),0)</f>
        <v>0</v>
      </c>
      <c r="E151" s="60">
        <f>IFERROR(VLOOKUP(B149,DATA!$A:$H,4,TRUE),0)</f>
        <v>0</v>
      </c>
      <c r="F151" s="60">
        <f>IFERROR(VLOOKUP(B149,DATA!$A:$H,5,TRUE),0)</f>
        <v>0</v>
      </c>
      <c r="G151" s="60">
        <f>IFERROR(VLOOKUP(B149,DATA!$A:$H,6,TRUE),0)</f>
        <v>0</v>
      </c>
      <c r="H151" s="60">
        <f>IFERROR(VLOOKUP(B149,DATA!$A:$H,7,TRUE),0)</f>
        <v>0</v>
      </c>
      <c r="I151" s="60">
        <f>IFERROR(VLOOKUP(B149,DATA!$A:$H,8,TRUE),0)</f>
        <v>0</v>
      </c>
      <c r="J151" s="60"/>
      <c r="K151" s="60"/>
      <c r="L151" s="60">
        <f>IFERROR(VLOOKUP(K149,DATA!$A:$H,2,TRUE),0)</f>
        <v>0</v>
      </c>
      <c r="M151" s="60">
        <f>IFERROR(VLOOKUP(K149,DATA!$A:$H,3,TRUE),0)</f>
        <v>0</v>
      </c>
      <c r="N151" s="60">
        <f>IFERROR(VLOOKUP(K149,DATA!$A:$H,4,TRUE),0)</f>
        <v>0</v>
      </c>
      <c r="O151" s="60">
        <f>IFERROR(VLOOKUP(K149,DATA!$A:$H,5,TRUE),0)</f>
        <v>0</v>
      </c>
      <c r="P151" s="60">
        <f>IFERROR(VLOOKUP(K149,DATA!$A:$H,6,TRUE),0)</f>
        <v>0</v>
      </c>
      <c r="Q151" s="60">
        <f>IFERROR(VLOOKUP(K149,DATA!$A:$H,7,TRUE),0)</f>
        <v>0</v>
      </c>
      <c r="R151" s="60">
        <f>IFERROR(VLOOKUP(K149,DATA!$A:$H,8,TRUE),0)</f>
        <v>0</v>
      </c>
      <c r="S151" s="60"/>
      <c r="T151" s="60"/>
      <c r="U151" s="60">
        <f>IFERROR(VLOOKUP(T149,DATA!$A:$H,2,TRUE),0)</f>
        <v>0</v>
      </c>
      <c r="V151" s="60">
        <f>IFERROR(VLOOKUP(T149,DATA!$A:$H,3,TRUE),0)</f>
        <v>0</v>
      </c>
      <c r="W151" s="60">
        <f>IFERROR(VLOOKUP(T149,DATA!$A:$H,4,TRUE),0)</f>
        <v>0</v>
      </c>
      <c r="X151" s="60">
        <f>IFERROR(VLOOKUP(T149,DATA!$A:$H,5,TRUE),0)</f>
        <v>0</v>
      </c>
      <c r="Y151" s="60">
        <f>IFERROR(VLOOKUP(T149,DATA!$A:$H,6,TRUE),0)</f>
        <v>0</v>
      </c>
      <c r="Z151" s="60">
        <f>IFERROR(VLOOKUP(T149,DATA!$A:$H,7,TRUE),0)</f>
        <v>0</v>
      </c>
      <c r="AA151" s="60">
        <f>IFERROR(VLOOKUP(T149,DATA!$A:$H,8,TRUE),0)</f>
        <v>0</v>
      </c>
      <c r="AB151" s="60"/>
      <c r="AC151" s="60"/>
      <c r="AD151" s="60">
        <f>IFERROR(VLOOKUP(AC149,DATA!$A:$H,2,TRUE),0)</f>
        <v>0</v>
      </c>
      <c r="AE151" s="60">
        <f>IFERROR(VLOOKUP(AC149,DATA!$A:$H,3,TRUE),0)</f>
        <v>0</v>
      </c>
      <c r="AF151" s="60">
        <f>IFERROR(VLOOKUP(AC149,DATA!$A:$H,4,TRUE),0)</f>
        <v>0</v>
      </c>
      <c r="AG151" s="60">
        <f>IFERROR(VLOOKUP(AC149,DATA!$A:$H,5,TRUE),0)</f>
        <v>0</v>
      </c>
      <c r="AH151" s="60">
        <f>IFERROR(VLOOKUP(AC149,DATA!$A:$H,6,TRUE),0)</f>
        <v>0</v>
      </c>
      <c r="AI151" s="60">
        <f>IFERROR(VLOOKUP(AC149,DATA!$A:$H,7,TRUE),0)</f>
        <v>0</v>
      </c>
      <c r="AJ151" s="60">
        <f>IFERROR(VLOOKUP(AC149,DATA!$A:$H,8,TRUE),0)</f>
        <v>0</v>
      </c>
      <c r="AK151" s="60"/>
      <c r="AL151" s="60"/>
      <c r="AM151" s="60">
        <f>IFERROR(VLOOKUP(AL149,DATA!$A:$H,2,TRUE),0)</f>
        <v>0</v>
      </c>
      <c r="AN151" s="60">
        <f>IFERROR(VLOOKUP(AL149,DATA!$A:$H,3,TRUE),0)</f>
        <v>0</v>
      </c>
      <c r="AO151" s="60">
        <f>IFERROR(VLOOKUP(AL149,DATA!$A:$H,4,TRUE),0)</f>
        <v>0</v>
      </c>
      <c r="AP151" s="60">
        <f>IFERROR(VLOOKUP(AL149,DATA!$A:$H,5,TRUE),0)</f>
        <v>0</v>
      </c>
      <c r="AQ151" s="60">
        <f>IFERROR(VLOOKUP(AL149,DATA!$A:$H,6,TRUE),0)</f>
        <v>0</v>
      </c>
      <c r="AR151" s="60">
        <f>IFERROR(VLOOKUP(AL149,DATA!$A:$H,7,TRUE),0)</f>
        <v>0</v>
      </c>
      <c r="AS151" s="60">
        <f>IFERROR(VLOOKUP(AL149,DATA!$A:$H,8,TRUE),0)</f>
        <v>0</v>
      </c>
      <c r="AT151" s="60"/>
      <c r="AU151" s="60"/>
      <c r="AV151" s="60" t="str">
        <f>IFERROR(VLOOKUP(AU149,DATA!$A:$H,2,TRUE),0)</f>
        <v>matin</v>
      </c>
      <c r="AW151" s="60">
        <f>IFERROR(VLOOKUP(AU149,DATA!$A:$H,3,TRUE),0)</f>
        <v>0</v>
      </c>
      <c r="AX151" s="60"/>
      <c r="AY151" s="63"/>
    </row>
    <row r="152" spans="1:58" ht="15" customHeight="1" x14ac:dyDescent="0.25">
      <c r="A152" s="21" t="s">
        <v>12</v>
      </c>
      <c r="B152" s="81"/>
      <c r="C152" s="60">
        <f t="shared" ref="C152:I152" si="340">IF(C151="Matin",1,IF(C151="AM",1,0))</f>
        <v>0</v>
      </c>
      <c r="D152" s="60">
        <f t="shared" si="340"/>
        <v>0</v>
      </c>
      <c r="E152" s="60">
        <f t="shared" si="340"/>
        <v>0</v>
      </c>
      <c r="F152" s="60">
        <f t="shared" si="340"/>
        <v>0</v>
      </c>
      <c r="G152" s="60">
        <f t="shared" si="340"/>
        <v>0</v>
      </c>
      <c r="H152" s="60">
        <f t="shared" si="340"/>
        <v>0</v>
      </c>
      <c r="I152" s="60">
        <f t="shared" si="340"/>
        <v>0</v>
      </c>
      <c r="J152" s="60">
        <f>SUM(C152:I152)</f>
        <v>0</v>
      </c>
      <c r="K152" s="60"/>
      <c r="L152" s="60">
        <f t="shared" ref="L152:R152" si="341">IF(L151="Matin",1,IF(L151="AM",1,0))</f>
        <v>0</v>
      </c>
      <c r="M152" s="60">
        <f t="shared" si="341"/>
        <v>0</v>
      </c>
      <c r="N152" s="60">
        <f t="shared" si="341"/>
        <v>0</v>
      </c>
      <c r="O152" s="60">
        <f t="shared" si="341"/>
        <v>0</v>
      </c>
      <c r="P152" s="60">
        <f t="shared" si="341"/>
        <v>0</v>
      </c>
      <c r="Q152" s="60">
        <f t="shared" si="341"/>
        <v>0</v>
      </c>
      <c r="R152" s="60">
        <f t="shared" si="341"/>
        <v>0</v>
      </c>
      <c r="S152" s="60">
        <f>SUM(L152:R152)</f>
        <v>0</v>
      </c>
      <c r="T152" s="60"/>
      <c r="U152" s="60">
        <f t="shared" ref="U152:AA152" si="342">IF(U151="Matin",1,IF(U151="AM",1,0))</f>
        <v>0</v>
      </c>
      <c r="V152" s="60">
        <f t="shared" si="342"/>
        <v>0</v>
      </c>
      <c r="W152" s="60">
        <f t="shared" si="342"/>
        <v>0</v>
      </c>
      <c r="X152" s="60">
        <f t="shared" si="342"/>
        <v>0</v>
      </c>
      <c r="Y152" s="60">
        <f t="shared" si="342"/>
        <v>0</v>
      </c>
      <c r="Z152" s="60">
        <f t="shared" si="342"/>
        <v>0</v>
      </c>
      <c r="AA152" s="60">
        <f t="shared" si="342"/>
        <v>0</v>
      </c>
      <c r="AB152" s="60">
        <f>SUM(U152:AA152)</f>
        <v>0</v>
      </c>
      <c r="AC152" s="60"/>
      <c r="AD152" s="60">
        <f t="shared" ref="AD152:AJ152" si="343">IF(AD151="Matin",1,IF(AD151="AM",1,0))</f>
        <v>0</v>
      </c>
      <c r="AE152" s="60">
        <f t="shared" si="343"/>
        <v>0</v>
      </c>
      <c r="AF152" s="60">
        <f t="shared" si="343"/>
        <v>0</v>
      </c>
      <c r="AG152" s="60">
        <f t="shared" si="343"/>
        <v>0</v>
      </c>
      <c r="AH152" s="60">
        <f t="shared" si="343"/>
        <v>0</v>
      </c>
      <c r="AI152" s="60">
        <f t="shared" si="343"/>
        <v>0</v>
      </c>
      <c r="AJ152" s="60">
        <f t="shared" si="343"/>
        <v>0</v>
      </c>
      <c r="AK152" s="60">
        <f>SUM(AD152:AJ152)</f>
        <v>0</v>
      </c>
      <c r="AL152" s="60"/>
      <c r="AM152" s="60">
        <f t="shared" ref="AM152:AS152" si="344">IF(AM151="Matin",1,IF(AM151="AM",1,0))</f>
        <v>0</v>
      </c>
      <c r="AN152" s="60">
        <f t="shared" si="344"/>
        <v>0</v>
      </c>
      <c r="AO152" s="60">
        <f t="shared" si="344"/>
        <v>0</v>
      </c>
      <c r="AP152" s="60">
        <f t="shared" si="344"/>
        <v>0</v>
      </c>
      <c r="AQ152" s="60">
        <f t="shared" si="344"/>
        <v>0</v>
      </c>
      <c r="AR152" s="60">
        <f t="shared" si="344"/>
        <v>0</v>
      </c>
      <c r="AS152" s="60">
        <f t="shared" si="344"/>
        <v>0</v>
      </c>
      <c r="AT152" s="60">
        <f>SUM(AM152:AS152)</f>
        <v>0</v>
      </c>
      <c r="AU152" s="60"/>
      <c r="AV152" s="60">
        <f t="shared" ref="AV152:AW152" si="345">IF(AV151="Matin",1,IF(AV151="AM",1,0))</f>
        <v>1</v>
      </c>
      <c r="AW152" s="60">
        <f t="shared" si="345"/>
        <v>0</v>
      </c>
      <c r="AX152" s="60">
        <f t="shared" ref="AX152:AX159" si="346">SUM(AV152:AW152)</f>
        <v>1</v>
      </c>
      <c r="AY152" s="60">
        <f>J152+S152+AB152+AK152+AT152+AX152</f>
        <v>1</v>
      </c>
    </row>
    <row r="153" spans="1:58" ht="15" customHeight="1" x14ac:dyDescent="0.25">
      <c r="A153" s="21" t="s">
        <v>4</v>
      </c>
      <c r="B153" s="81"/>
      <c r="C153" s="60">
        <f>IF(C154&gt;=1,1,0)</f>
        <v>0</v>
      </c>
      <c r="D153" s="60">
        <f>IF(D154&gt;=1,1,0)</f>
        <v>0</v>
      </c>
      <c r="E153" s="60">
        <f t="shared" ref="E153:I153" si="347">IF(E154&gt;=1,1,0)</f>
        <v>0</v>
      </c>
      <c r="F153" s="60">
        <f t="shared" si="347"/>
        <v>0</v>
      </c>
      <c r="G153" s="60">
        <f t="shared" si="347"/>
        <v>0</v>
      </c>
      <c r="H153" s="60">
        <f t="shared" si="347"/>
        <v>0</v>
      </c>
      <c r="I153" s="60">
        <f t="shared" si="347"/>
        <v>0</v>
      </c>
      <c r="J153" s="60">
        <f t="shared" ref="J153:J163" si="348">SUM(C153:I153)</f>
        <v>0</v>
      </c>
      <c r="K153" s="60"/>
      <c r="L153" s="60">
        <f>IF(L154&gt;=1,1,0)</f>
        <v>0</v>
      </c>
      <c r="M153" s="60">
        <f t="shared" ref="M153:R153" si="349">IF(M154&gt;=1,1,0)</f>
        <v>0</v>
      </c>
      <c r="N153" s="60">
        <f t="shared" si="349"/>
        <v>0</v>
      </c>
      <c r="O153" s="60">
        <f t="shared" si="349"/>
        <v>0</v>
      </c>
      <c r="P153" s="60">
        <f t="shared" si="349"/>
        <v>0</v>
      </c>
      <c r="Q153" s="60">
        <f t="shared" si="349"/>
        <v>0</v>
      </c>
      <c r="R153" s="60">
        <f t="shared" si="349"/>
        <v>0</v>
      </c>
      <c r="S153" s="60">
        <f t="shared" ref="S153:S163" si="350">SUM(L153:R153)</f>
        <v>0</v>
      </c>
      <c r="T153" s="60"/>
      <c r="U153" s="60">
        <f>IF(U154&gt;=1,1,0)</f>
        <v>0</v>
      </c>
      <c r="V153" s="60">
        <f t="shared" ref="V153:AA153" si="351">IF(V154&gt;=1,1,0)</f>
        <v>0</v>
      </c>
      <c r="W153" s="60">
        <f t="shared" si="351"/>
        <v>0</v>
      </c>
      <c r="X153" s="60">
        <f t="shared" si="351"/>
        <v>0</v>
      </c>
      <c r="Y153" s="60">
        <f t="shared" si="351"/>
        <v>0</v>
      </c>
      <c r="Z153" s="60">
        <f t="shared" si="351"/>
        <v>0</v>
      </c>
      <c r="AA153" s="60">
        <f t="shared" si="351"/>
        <v>0</v>
      </c>
      <c r="AB153" s="60">
        <f t="shared" ref="AB153:AB163" si="352">SUM(U153:AA153)</f>
        <v>0</v>
      </c>
      <c r="AC153" s="60"/>
      <c r="AD153" s="60">
        <f>IF(AD154&gt;=1,1,0)</f>
        <v>0</v>
      </c>
      <c r="AE153" s="60">
        <f t="shared" ref="AE153:AJ153" si="353">IF(AE154&gt;=1,1,0)</f>
        <v>0</v>
      </c>
      <c r="AF153" s="60">
        <f t="shared" si="353"/>
        <v>0</v>
      </c>
      <c r="AG153" s="60">
        <f t="shared" si="353"/>
        <v>0</v>
      </c>
      <c r="AH153" s="60">
        <f t="shared" si="353"/>
        <v>0</v>
      </c>
      <c r="AI153" s="60">
        <f t="shared" si="353"/>
        <v>0</v>
      </c>
      <c r="AJ153" s="60">
        <f t="shared" si="353"/>
        <v>0</v>
      </c>
      <c r="AK153" s="60">
        <f t="shared" ref="AK153:AK163" si="354">SUM(AD153:AJ153)</f>
        <v>0</v>
      </c>
      <c r="AL153" s="60"/>
      <c r="AM153" s="60">
        <f>IF(AM154&gt;=1,1,0)</f>
        <v>0</v>
      </c>
      <c r="AN153" s="60">
        <f t="shared" ref="AN153:AS153" si="355">IF(AN154&gt;=1,1,0)</f>
        <v>0</v>
      </c>
      <c r="AO153" s="60">
        <f t="shared" si="355"/>
        <v>0</v>
      </c>
      <c r="AP153" s="60">
        <f t="shared" si="355"/>
        <v>0</v>
      </c>
      <c r="AQ153" s="60">
        <f t="shared" si="355"/>
        <v>0</v>
      </c>
      <c r="AR153" s="60">
        <f t="shared" si="355"/>
        <v>0</v>
      </c>
      <c r="AS153" s="60">
        <f t="shared" si="355"/>
        <v>0</v>
      </c>
      <c r="AT153" s="60">
        <f t="shared" ref="AT153:AT163" si="356">SUM(AM153:AS153)</f>
        <v>0</v>
      </c>
      <c r="AU153" s="60"/>
      <c r="AV153" s="60">
        <f>IF(AV154&gt;=1,1,0)</f>
        <v>1</v>
      </c>
      <c r="AW153" s="60">
        <f t="shared" ref="AW153" si="357">IF(AW154&gt;=1,1,0)</f>
        <v>0</v>
      </c>
      <c r="AX153" s="60">
        <f t="shared" si="346"/>
        <v>1</v>
      </c>
      <c r="AY153" s="60">
        <f t="shared" ref="AY153:AY162" si="358">J153+S153+AB153+AK153+AT153+AX153</f>
        <v>1</v>
      </c>
    </row>
    <row r="154" spans="1:58" ht="15" customHeight="1" x14ac:dyDescent="0.25">
      <c r="A154" s="21" t="s">
        <v>3</v>
      </c>
      <c r="B154" s="81"/>
      <c r="C154" s="60">
        <f>IF(C151="Matin",8,IF(C151="AM",8,IF(C151="nuit",8,0)))</f>
        <v>0</v>
      </c>
      <c r="D154" s="60">
        <f t="shared" ref="D154:I154" si="359">IF(D151="Matin",8,IF(D151="AM",8,IF(D151="nuit",8,0)))</f>
        <v>0</v>
      </c>
      <c r="E154" s="60">
        <f t="shared" si="359"/>
        <v>0</v>
      </c>
      <c r="F154" s="60">
        <f t="shared" si="359"/>
        <v>0</v>
      </c>
      <c r="G154" s="60">
        <f t="shared" si="359"/>
        <v>0</v>
      </c>
      <c r="H154" s="60">
        <f t="shared" si="359"/>
        <v>0</v>
      </c>
      <c r="I154" s="60">
        <f t="shared" si="359"/>
        <v>0</v>
      </c>
      <c r="J154" s="60">
        <f t="shared" si="348"/>
        <v>0</v>
      </c>
      <c r="K154" s="60"/>
      <c r="L154" s="60">
        <f>IF(L151="Matin",8,IF(L151="AM",8,IF(L151="nuit",8,0)))</f>
        <v>0</v>
      </c>
      <c r="M154" s="60">
        <f t="shared" ref="M154:R154" si="360">IF(M151="Matin",8,IF(M151="AM",8,IF(M151="nuit",8,0)))</f>
        <v>0</v>
      </c>
      <c r="N154" s="60">
        <f t="shared" si="360"/>
        <v>0</v>
      </c>
      <c r="O154" s="60">
        <f t="shared" si="360"/>
        <v>0</v>
      </c>
      <c r="P154" s="60">
        <f t="shared" si="360"/>
        <v>0</v>
      </c>
      <c r="Q154" s="60">
        <f t="shared" si="360"/>
        <v>0</v>
      </c>
      <c r="R154" s="60">
        <f t="shared" si="360"/>
        <v>0</v>
      </c>
      <c r="S154" s="60">
        <f t="shared" si="350"/>
        <v>0</v>
      </c>
      <c r="T154" s="60"/>
      <c r="U154" s="60">
        <f>IF(U151="Matin",8,IF(U151="AM",8,IF(U151="nuit",8,0)))</f>
        <v>0</v>
      </c>
      <c r="V154" s="60">
        <f t="shared" ref="V154:AA154" si="361">IF(V151="Matin",8,IF(V151="AM",8,IF(V151="nuit",8,0)))</f>
        <v>0</v>
      </c>
      <c r="W154" s="60">
        <f t="shared" si="361"/>
        <v>0</v>
      </c>
      <c r="X154" s="60">
        <f t="shared" si="361"/>
        <v>0</v>
      </c>
      <c r="Y154" s="60">
        <f t="shared" si="361"/>
        <v>0</v>
      </c>
      <c r="Z154" s="60">
        <f t="shared" si="361"/>
        <v>0</v>
      </c>
      <c r="AA154" s="60">
        <f t="shared" si="361"/>
        <v>0</v>
      </c>
      <c r="AB154" s="60">
        <f t="shared" si="352"/>
        <v>0</v>
      </c>
      <c r="AC154" s="60"/>
      <c r="AD154" s="60">
        <f>IF(AD151="Matin",8,IF(AD151="AM",8,IF(AD151="nuit",8,0)))</f>
        <v>0</v>
      </c>
      <c r="AE154" s="60">
        <f t="shared" ref="AE154:AJ154" si="362">IF(AE151="Matin",8,IF(AE151="AM",8,IF(AE151="nuit",8,0)))</f>
        <v>0</v>
      </c>
      <c r="AF154" s="60">
        <f t="shared" si="362"/>
        <v>0</v>
      </c>
      <c r="AG154" s="60">
        <f t="shared" si="362"/>
        <v>0</v>
      </c>
      <c r="AH154" s="60">
        <f t="shared" si="362"/>
        <v>0</v>
      </c>
      <c r="AI154" s="60">
        <f t="shared" si="362"/>
        <v>0</v>
      </c>
      <c r="AJ154" s="60">
        <f t="shared" si="362"/>
        <v>0</v>
      </c>
      <c r="AK154" s="60">
        <f t="shared" si="354"/>
        <v>0</v>
      </c>
      <c r="AL154" s="60"/>
      <c r="AM154" s="60">
        <f>IF(AM151="Matin",8,IF(AM151="AM",8,IF(AM151="nuit",8,0)))</f>
        <v>0</v>
      </c>
      <c r="AN154" s="60">
        <f t="shared" ref="AN154:AS154" si="363">IF(AN151="Matin",8,IF(AN151="AM",8,IF(AN151="nuit",8,0)))</f>
        <v>0</v>
      </c>
      <c r="AO154" s="60">
        <f t="shared" si="363"/>
        <v>0</v>
      </c>
      <c r="AP154" s="60">
        <f t="shared" si="363"/>
        <v>0</v>
      </c>
      <c r="AQ154" s="60">
        <f t="shared" si="363"/>
        <v>0</v>
      </c>
      <c r="AR154" s="60">
        <f t="shared" si="363"/>
        <v>0</v>
      </c>
      <c r="AS154" s="60">
        <f t="shared" si="363"/>
        <v>0</v>
      </c>
      <c r="AT154" s="60">
        <f t="shared" si="356"/>
        <v>0</v>
      </c>
      <c r="AU154" s="60"/>
      <c r="AV154" s="60">
        <f>IF(AV151="Matin",8,IF(AV151="AM",8,IF(AV151="nuit",8,0)))</f>
        <v>8</v>
      </c>
      <c r="AW154" s="60">
        <f t="shared" ref="AW154" si="364">IF(AW151="Matin",8,IF(AW151="AM",8,IF(AW151="nuit",8,0)))</f>
        <v>0</v>
      </c>
      <c r="AX154" s="60">
        <f t="shared" si="346"/>
        <v>8</v>
      </c>
      <c r="AY154" s="60">
        <f t="shared" si="358"/>
        <v>8</v>
      </c>
    </row>
    <row r="155" spans="1:58" ht="15" customHeight="1" x14ac:dyDescent="0.25">
      <c r="A155" s="36" t="s">
        <v>20</v>
      </c>
      <c r="B155" s="82"/>
      <c r="C155" s="66">
        <f>IF(C149&lt;&gt;"Dim",IF(C154&gt;32,MIN(C154,35)-32,0),0)</f>
        <v>0</v>
      </c>
      <c r="D155" s="66">
        <f>IF(D149&lt;&gt;"Dim",IF(SUM($C154:D154)&gt;32,MIN(SUM($C154:D154),35)-32-SUM($C155:C155),0),0)</f>
        <v>0</v>
      </c>
      <c r="E155" s="66">
        <f>IF(E149&lt;&gt;"Dim",IF(SUM($C154:E154)&gt;32,MIN(SUM($C154:E154),35)-32-SUM($C155:D155),0),0)</f>
        <v>0</v>
      </c>
      <c r="F155" s="66">
        <f>IF(F149&lt;&gt;"Dim",IF(SUM($C154:F154)&gt;32,MIN(SUM($C154:F154),35)-32-SUM($C155:E155),0),0)</f>
        <v>0</v>
      </c>
      <c r="G155" s="66">
        <f>IF(G149&lt;&gt;"Dim",IF(SUM($C154:G154)&gt;32,MIN(SUM($C154:G154),35)-32-SUM($C155:F155),0),0)</f>
        <v>0</v>
      </c>
      <c r="H155" s="66">
        <f>IF(H149&lt;&gt;"Dim",IF(SUM($C154:H154)&gt;32,MIN(SUM($C154:H154),35)-32-SUM($C155:G155),0),0)</f>
        <v>0</v>
      </c>
      <c r="I155" s="66">
        <f>IF(I149&lt;&gt;"Dim",IF(SUM($C154:I154)&gt;32,MIN(SUM($C154:I154),35)-32-SUM($C155:H155),0),0)</f>
        <v>0</v>
      </c>
      <c r="J155" s="60">
        <f t="shared" si="348"/>
        <v>0</v>
      </c>
      <c r="K155" s="60"/>
      <c r="L155" s="66">
        <f>IF(L149&lt;&gt;"Dim",IF(L154&gt;32,MIN(L154,35)-32,0),0)</f>
        <v>0</v>
      </c>
      <c r="M155" s="66">
        <f>IF(M149&lt;&gt;"Dim",IF(SUM($L154:M154)&gt;32,MIN(SUM($L154:M154),35)-32-SUM($L155:L155),0),0)</f>
        <v>0</v>
      </c>
      <c r="N155" s="66">
        <f>IF(N149&lt;&gt;"Dim",IF(SUM($L154:N154)&gt;32,MIN(SUM($L154:N154),35)-32-SUM($L155:M155),0),0)</f>
        <v>0</v>
      </c>
      <c r="O155" s="66">
        <f>IF(O149&lt;&gt;"Dim",IF(SUM($L154:O154)&gt;32,MIN(SUM($L154:O154),35)-32-SUM($L155:N155),0),0)</f>
        <v>0</v>
      </c>
      <c r="P155" s="66">
        <f>IF(P149&lt;&gt;"Dim",IF(SUM($L154:P154)&gt;32,MIN(SUM($L154:P154),35)-32-SUM($L155:O155),0),0)</f>
        <v>0</v>
      </c>
      <c r="Q155" s="66">
        <f>IF(Q149&lt;&gt;"Dim",IF(SUM($L154:Q154)&gt;32,MIN(SUM($L154:Q154),35)-32-SUM($L155:P155),0),0)</f>
        <v>0</v>
      </c>
      <c r="R155" s="66">
        <f>IF(R149&lt;&gt;"Dim",IF(SUM($L154:R154)&gt;32,MIN(SUM($L154:R154),35)-32-SUM($L155:Q155),0),0)</f>
        <v>0</v>
      </c>
      <c r="S155" s="60">
        <f t="shared" si="350"/>
        <v>0</v>
      </c>
      <c r="T155" s="60"/>
      <c r="U155" s="66">
        <f>IF(U149&lt;&gt;"Dim",IF(U154&gt;32,MIN(U154,35)-32,0),0)</f>
        <v>0</v>
      </c>
      <c r="V155" s="66">
        <f>IF(V149&lt;&gt;"Dim",IF(SUM($U154:V154)&gt;32,MIN(SUM($U154:V154),35)-32-SUM($U155:U155),0),0)</f>
        <v>0</v>
      </c>
      <c r="W155" s="66">
        <f>IF(W149&lt;&gt;"Dim",IF(SUM($U154:W154)&gt;32,MIN(SUM($U154:W154),35)-32-SUM($U155:V155),0),0)</f>
        <v>0</v>
      </c>
      <c r="X155" s="66">
        <f>IF(X149&lt;&gt;"Dim",IF(SUM($U154:X154)&gt;32,MIN(SUM($U154:X154),35)-32-SUM($U155:W155),0),0)</f>
        <v>0</v>
      </c>
      <c r="Y155" s="66">
        <f>IF(Y149&lt;&gt;"Dim",IF(SUM($U154:Y154)&gt;32,MIN(SUM($U154:Y154),35)-32-SUM($U155:X155),0),0)</f>
        <v>0</v>
      </c>
      <c r="Z155" s="66">
        <f>IF(Z149&lt;&gt;"Dim",IF(SUM($U154:Z154)&gt;32,MIN(SUM($U154:Z154),35)-32-SUM($U155:Y155),0),0)</f>
        <v>0</v>
      </c>
      <c r="AA155" s="66">
        <f>IF(AA149&lt;&gt;"Dim",IF(SUM($U154:AA154)&gt;32,MIN(SUM($U154:AA154),35)-32-SUM($U155:Z155),0),0)</f>
        <v>0</v>
      </c>
      <c r="AB155" s="60">
        <f t="shared" si="352"/>
        <v>0</v>
      </c>
      <c r="AC155" s="60"/>
      <c r="AD155" s="66">
        <f>IF(AD149&lt;&gt;"Dim",IF(AD154&gt;32,MIN(AD154,35)-32,0),0)</f>
        <v>0</v>
      </c>
      <c r="AE155" s="66">
        <f>IF(AE149&lt;&gt;"Dim",IF(SUM($AD154:AE154)&gt;32,MIN(SUM($AD154:AE154),35)-32-SUM($AD155:AD155),0),0)</f>
        <v>0</v>
      </c>
      <c r="AF155" s="66">
        <f>IF(AF149&lt;&gt;"Dim",IF(SUM($AD154:AF154)&gt;32,MIN(SUM($AD154:AF154),35)-32-SUM($AD155:AE155),0),0)</f>
        <v>0</v>
      </c>
      <c r="AG155" s="66">
        <f>IF(AG149&lt;&gt;"Dim",IF(SUM($AD154:AG154)&gt;32,MIN(SUM($AD154:AG154),35)-32-SUM($AD155:AF155),0),0)</f>
        <v>0</v>
      </c>
      <c r="AH155" s="66">
        <f>IF(AH149&lt;&gt;"Dim",IF(SUM($AD154:AH154)&gt;32,MIN(SUM($AD154:AH154),35)-32-SUM($AD155:AG155),0),0)</f>
        <v>0</v>
      </c>
      <c r="AI155" s="66">
        <f>IF(AI149&lt;&gt;"Dim",IF(SUM($AD154:AI154)&gt;32,MIN(SUM($AD154:AI154),35)-32-SUM($AD155:AH155),0),0)</f>
        <v>0</v>
      </c>
      <c r="AJ155" s="66">
        <f>IF(AJ149&lt;&gt;"Dim",IF(SUM($AD154:AJ154)&gt;32,MIN(SUM($AD154:AJ154),35)-32-SUM($AD155:AI155),0),0)</f>
        <v>0</v>
      </c>
      <c r="AK155" s="60">
        <f t="shared" si="354"/>
        <v>0</v>
      </c>
      <c r="AL155" s="60"/>
      <c r="AM155" s="66">
        <f>IF(AM149&lt;&gt;"Dim",IF(AM154&gt;32,MIN(AM154,35)-32,0),0)</f>
        <v>0</v>
      </c>
      <c r="AN155" s="66">
        <f>IF(AN149&lt;&gt;"Dim",IF(SUM($AM154:AN154)&gt;32,MIN(SUM($AM154:AN154),35)-32-SUM($AM155:AM155),0),0)</f>
        <v>0</v>
      </c>
      <c r="AO155" s="66">
        <f>IF(AO149&lt;&gt;"Dim",IF(SUM($AM154:AO154)&gt;32,MIN(SUM($AM154:AO154),35)-32-SUM($AM155:AN155),0),0)</f>
        <v>0</v>
      </c>
      <c r="AP155" s="66">
        <f>IF(AP149&lt;&gt;"Dim",IF(SUM($AM154:AP154)&gt;32,MIN(SUM($AM154:AP154),35)-32-SUM($AM155:AO155),0),0)</f>
        <v>0</v>
      </c>
      <c r="AQ155" s="66">
        <f>IF(AQ149&lt;&gt;"Dim",IF(SUM($AM154:AQ154)&gt;32,MIN(SUM($AM154:AQ154),35)-32-SUM($AM155:AP155),0),0)</f>
        <v>0</v>
      </c>
      <c r="AR155" s="66">
        <f>IF(AR149&lt;&gt;"Dim",IF(SUM($AM154:AR154)&gt;32,MIN(SUM($AM154:AR154),35)-32-SUM($AM155:AQ155),0),0)</f>
        <v>0</v>
      </c>
      <c r="AS155" s="66">
        <f>IF(AS149&lt;&gt;"Dim",IF(SUM($AM154:AS154)&gt;32,MIN(SUM($AM154:AS154),35)-32-SUM($AM155:AR155),0),0)</f>
        <v>0</v>
      </c>
      <c r="AT155" s="60">
        <f t="shared" si="356"/>
        <v>0</v>
      </c>
      <c r="AU155" s="60"/>
      <c r="AV155" s="66">
        <f>IF(AV149&lt;&gt;"Dim",IF(AV154&gt;32,MIN(AV154,35)-32,0),0)</f>
        <v>0</v>
      </c>
      <c r="AW155" s="66">
        <f>IF(AW149&lt;&gt;"Dim",IF(SUM($AV154:AW154)&gt;32,MIN(SUM($AV154:AW154),35)-32-SUM($AV155:AV155),0),0)</f>
        <v>0</v>
      </c>
      <c r="AX155" s="60">
        <f t="shared" si="346"/>
        <v>0</v>
      </c>
      <c r="AY155" s="60">
        <f t="shared" si="358"/>
        <v>0</v>
      </c>
    </row>
    <row r="156" spans="1:58" ht="15" customHeight="1" x14ac:dyDescent="0.25">
      <c r="A156" s="21" t="s">
        <v>6</v>
      </c>
      <c r="B156" s="81"/>
      <c r="C156" s="66">
        <f>IF(C149&lt;&gt;"Dim",IF(C154&gt;35,(MIN(C154,43)-35),0),0)</f>
        <v>0</v>
      </c>
      <c r="D156" s="66">
        <f>IF(D149&lt;&gt;"Dim",IF(SUM($C154:D154)&gt;35,(MIN(SUM($C154:D154),43)-35-SUM($C156:C156)),0),0)</f>
        <v>0</v>
      </c>
      <c r="E156" s="66">
        <f>IF(E149&lt;&gt;"Dim",IF(SUM($C154:E154)&gt;35,(MIN(SUM($C154:E154),43)-35-SUM($C156:D156)),0),0)</f>
        <v>0</v>
      </c>
      <c r="F156" s="66">
        <f>IF(F149&lt;&gt;"Dim",IF(SUM($C154:F154)&gt;35,(MIN(SUM($C154:F154),43)-35-SUM($C156:E156)),0),0)</f>
        <v>0</v>
      </c>
      <c r="G156" s="66">
        <f>IF(G149&lt;&gt;"Dim",IF(SUM($C154:G154)&gt;35,(MIN(SUM($C154:G154),43)-35-SUM($C156:F156)),0),0)</f>
        <v>0</v>
      </c>
      <c r="H156" s="66">
        <f>IF(H149&lt;&gt;"Dim",IF(SUM($C154:H154)&gt;35,(MIN(SUM($C154:H154),43)-35-SUM($C156:G156)),0),0)</f>
        <v>0</v>
      </c>
      <c r="I156" s="66">
        <f>IF(I149&lt;&gt;"Dim",IF(SUM($C154:I154)&gt;35,(MIN(SUM($C154:I154),43)-35-SUM($C156:H156)),0),0)</f>
        <v>0</v>
      </c>
      <c r="J156" s="60">
        <f t="shared" si="348"/>
        <v>0</v>
      </c>
      <c r="K156" s="60"/>
      <c r="L156" s="66">
        <f>IF(L149&lt;&gt;"Dim",IF(L154&gt;35,(MIN(L154,43)-35),0),0)</f>
        <v>0</v>
      </c>
      <c r="M156" s="66">
        <f>IF(M149&lt;&gt;"Dim",IF(SUM($L154:M154)&gt;35,(MIN(SUM($L154:M154),43)-35-SUM($L156:L156)),0),0)</f>
        <v>0</v>
      </c>
      <c r="N156" s="66">
        <f>IF(N149&lt;&gt;"Dim",IF(SUM($L154:N154)&gt;35,(MIN(SUM($L154:N154),43)-35-SUM($L156:M156)),0),0)</f>
        <v>0</v>
      </c>
      <c r="O156" s="66">
        <f>IF(O149&lt;&gt;"Dim",IF(SUM($L154:O154)&gt;35,(MIN(SUM($L154:O154),43)-35-SUM($L156:N156)),0),0)</f>
        <v>0</v>
      </c>
      <c r="P156" s="66">
        <f>IF(P149&lt;&gt;"Dim",IF(SUM($L154:P154)&gt;35,(MIN(SUM($L154:P154),43)-35-SUM($L156:O156)),0),0)</f>
        <v>0</v>
      </c>
      <c r="Q156" s="66">
        <f>IF(Q149&lt;&gt;"Dim",IF(SUM($L154:Q154)&gt;35,(MIN(SUM($L154:Q154),43)-35-SUM($L156:P156)),0),0)</f>
        <v>0</v>
      </c>
      <c r="R156" s="66">
        <f>IF(R149&lt;&gt;"Dim",IF(SUM($L154:R154)&gt;35,(MIN(SUM($L154:R154),43)-35-SUM($L156:Q156)),0),0)</f>
        <v>0</v>
      </c>
      <c r="S156" s="60">
        <f t="shared" si="350"/>
        <v>0</v>
      </c>
      <c r="T156" s="60"/>
      <c r="U156" s="66">
        <f>IF(U149&lt;&gt;"Dim",IF(U154&gt;35,(MIN(U154,43)-35),0),0)</f>
        <v>0</v>
      </c>
      <c r="V156" s="66">
        <f>IF(V149&lt;&gt;"Dim",IF(SUM($U154:V154)&gt;35,(MIN(SUM($U154:V154),43)-35-SUM($U156:U156)),0),0)</f>
        <v>0</v>
      </c>
      <c r="W156" s="66">
        <f>IF(W149&lt;&gt;"Dim",IF(SUM($U154:W154)&gt;35,(MIN(SUM($U154:W154),43)-35-SUM($U156:V156)),0),0)</f>
        <v>0</v>
      </c>
      <c r="X156" s="66">
        <f>IF(X149&lt;&gt;"Dim",IF(SUM($U154:X154)&gt;35,(MIN(SUM($U154:X154),43)-35-SUM($U156:W156)),0),0)</f>
        <v>0</v>
      </c>
      <c r="Y156" s="66">
        <f>IF(Y149&lt;&gt;"Dim",IF(SUM($U154:Y154)&gt;35,(MIN(SUM($U154:Y154),43)-35-SUM($U156:X156)),0),0)</f>
        <v>0</v>
      </c>
      <c r="Z156" s="66">
        <f>IF(Z149&lt;&gt;"Dim",IF(SUM($U154:Z154)&gt;35,(MIN(SUM($U154:Z154),43)-35-SUM($U156:Y156)),0),0)</f>
        <v>0</v>
      </c>
      <c r="AA156" s="66">
        <f>IF(AA149&lt;&gt;"Dim",IF(SUM($U154:AA154)&gt;35,(MIN(SUM($U154:AA154),43)-35-SUM($U156:Z156)),0),0)</f>
        <v>0</v>
      </c>
      <c r="AB156" s="60">
        <f t="shared" si="352"/>
        <v>0</v>
      </c>
      <c r="AC156" s="60"/>
      <c r="AD156" s="66">
        <f>IF(AD149&lt;&gt;"Dim",IF(AD154&gt;35,(MIN(AD154,43)-35),0),0)</f>
        <v>0</v>
      </c>
      <c r="AE156" s="66">
        <f>IF(AE149&lt;&gt;"Dim",IF(SUM($AD154:AE154)&gt;35,(MIN(SUM($AD154:AE154),43)-35-SUM($AD156:AD156)),0),0)</f>
        <v>0</v>
      </c>
      <c r="AF156" s="66">
        <f>IF(AF149&lt;&gt;"Dim",IF(SUM($AD154:AF154)&gt;35,(MIN(SUM($AD154:AF154),43)-35-SUM($AD156:AE156)),0),0)</f>
        <v>0</v>
      </c>
      <c r="AG156" s="66">
        <f>IF(AG149&lt;&gt;"Dim",IF(SUM($AD154:AG154)&gt;35,(MIN(SUM($AD154:AG154),43)-35-SUM($AD156:AF156)),0),0)</f>
        <v>0</v>
      </c>
      <c r="AH156" s="66">
        <f>IF(AH149&lt;&gt;"Dim",IF(SUM($AD154:AH154)&gt;35,(MIN(SUM($AD154:AH154),43)-35-SUM($AD156:AG156)),0),0)</f>
        <v>0</v>
      </c>
      <c r="AI156" s="66">
        <f>IF(AI149&lt;&gt;"Dim",IF(SUM($AD154:AI154)&gt;35,(MIN(SUM($AD154:AI154),43)-35-SUM($AD156:AH156)),0),0)</f>
        <v>0</v>
      </c>
      <c r="AJ156" s="66">
        <f>IF(AJ149&lt;&gt;"Dim",IF(SUM($AD154:AJ154)&gt;35,(MIN(SUM($AD154:AJ154),43)-35-SUM($AD156:AI156)),0),0)</f>
        <v>0</v>
      </c>
      <c r="AK156" s="60">
        <f t="shared" si="354"/>
        <v>0</v>
      </c>
      <c r="AL156" s="60"/>
      <c r="AM156" s="66">
        <f>IF(AM149&lt;&gt;"Dim",IF(AM154&gt;35,(MIN(AM154,43)-35),0),0)</f>
        <v>0</v>
      </c>
      <c r="AN156" s="66">
        <f>IF(AN149&lt;&gt;"Dim",IF(SUM($AM154:AN154)&gt;35,(MIN(SUM($AM154:AN154),43)-35-SUM($AM156:AM156)),0),0)</f>
        <v>0</v>
      </c>
      <c r="AO156" s="66">
        <f>IF(AO149&lt;&gt;"Dim",IF(SUM($AM154:AO154)&gt;35,(MIN(SUM($AM154:AO154),43)-35-SUM($AM156:AN156)),0),0)</f>
        <v>0</v>
      </c>
      <c r="AP156" s="66">
        <f>IF(AP149&lt;&gt;"Dim",IF(SUM($AM154:AP154)&gt;35,(MIN(SUM($AM154:AP154),43)-35-SUM($AM156:AO156)),0),0)</f>
        <v>0</v>
      </c>
      <c r="AQ156" s="66">
        <f>IF(AQ149&lt;&gt;"Dim",IF(SUM($AM154:AQ154)&gt;35,(MIN(SUM($AM154:AQ154),43)-35-SUM($AM156:AP156)),0),0)</f>
        <v>0</v>
      </c>
      <c r="AR156" s="66">
        <f>IF(AR149&lt;&gt;"Dim",IF(SUM($AM154:AR154)&gt;35,(MIN(SUM($AM154:AR154),43)-35-SUM($AM156:AQ156)),0),0)</f>
        <v>0</v>
      </c>
      <c r="AS156" s="66">
        <f>IF(AS149&lt;&gt;"Dim",IF(SUM($AM154:AS154)&gt;35,(MIN(SUM($AM154:AS154),43)-35-SUM($AM156:AR156)),0),0)</f>
        <v>0</v>
      </c>
      <c r="AT156" s="60">
        <f t="shared" si="356"/>
        <v>0</v>
      </c>
      <c r="AU156" s="60"/>
      <c r="AV156" s="66">
        <f>IF(AV149&lt;&gt;"Dim",IF(AV154&gt;35,(MIN(AV154,43)-35),0),0)</f>
        <v>0</v>
      </c>
      <c r="AW156" s="66">
        <f>IF(AW149&lt;&gt;"Dim",IF(SUM($AV154:AW154)&gt;35,(MIN(SUM($AV154:AW154),43)-35-SUM($AV156:AV156)),0),0)</f>
        <v>0</v>
      </c>
      <c r="AX156" s="60">
        <f t="shared" si="346"/>
        <v>0</v>
      </c>
      <c r="AY156" s="60">
        <f t="shared" si="358"/>
        <v>0</v>
      </c>
    </row>
    <row r="157" spans="1:58" ht="15" customHeight="1" x14ac:dyDescent="0.25">
      <c r="A157" s="21" t="s">
        <v>5</v>
      </c>
      <c r="B157" s="81"/>
      <c r="C157" s="66">
        <f>IF(C149&lt;&gt;"Dim",IF(C154&gt;43,(MIN(C154,48)-43),0),0)</f>
        <v>0</v>
      </c>
      <c r="D157" s="66">
        <f>IF(D149&lt;&gt;"Dim",IF(SUM($C154:D154)&gt;43,(MIN(SUM($C154:D154),48)-43-SUM($C157:C157)),0),0)</f>
        <v>0</v>
      </c>
      <c r="E157" s="66">
        <f>IF(E149&lt;&gt;"Dim",IF(SUM($C154:E154)&gt;43,(MIN(SUM($C154:E154),48)-43-SUM($C157:D157)),0),0)</f>
        <v>0</v>
      </c>
      <c r="F157" s="66">
        <f>IF(F149&lt;&gt;"Dim",IF(SUM($C154:F154)&gt;43,(MIN(SUM($C154:F154),48)-43-SUM($C157:E157)),0),0)</f>
        <v>0</v>
      </c>
      <c r="G157" s="66">
        <f>IF(G149&lt;&gt;"Dim",IF(SUM($C154:G154)&gt;43,(MIN(SUM($C154:G154),48)-43-SUM($C157:F157)),0),0)</f>
        <v>0</v>
      </c>
      <c r="H157" s="66">
        <f>IF(H149&lt;&gt;"Dim",IF(SUM($C154:H154)&gt;43,(MIN(SUM($C154:H154),48)-43-SUM($C157:G157)),0),0)</f>
        <v>0</v>
      </c>
      <c r="I157" s="66">
        <f>IF(I149&lt;&gt;"Dim",IF(SUM($C154:I154)&gt;43,(MIN(SUM($C154:I154),48)-43-SUM($C157:H157)),0),0)</f>
        <v>0</v>
      </c>
      <c r="J157" s="60">
        <f t="shared" si="348"/>
        <v>0</v>
      </c>
      <c r="K157" s="60"/>
      <c r="L157" s="66">
        <f>IF(L149&lt;&gt;"Dim",IF(L154&gt;43,(MIN(L154,48)-43),0),0)</f>
        <v>0</v>
      </c>
      <c r="M157" s="66">
        <f>IF(M149&lt;&gt;"Dim",IF(SUM($L154:M154)&gt;43,(MIN(SUM($L154:M154),48)-43-SUM($L157:L157)),0),0)</f>
        <v>0</v>
      </c>
      <c r="N157" s="66">
        <f>IF(N149&lt;&gt;"Dim",IF(SUM($L154:N154)&gt;43,(MIN(SUM($L154:N154),48)-43-SUM($L157:M157)),0),0)</f>
        <v>0</v>
      </c>
      <c r="O157" s="66">
        <f>IF(O149&lt;&gt;"Dim",IF(SUM($L154:O154)&gt;43,(MIN(SUM($L154:O154),48)-43-SUM($L157:N157)),0),0)</f>
        <v>0</v>
      </c>
      <c r="P157" s="66">
        <f>IF(P149&lt;&gt;"Dim",IF(SUM($L154:P154)&gt;43,(MIN(SUM($L154:P154),48)-43-SUM($L157:O157)),0),0)</f>
        <v>0</v>
      </c>
      <c r="Q157" s="66">
        <f>IF(Q149&lt;&gt;"Dim",IF(SUM($L154:Q154)&gt;43,(MIN(SUM($L154:Q154),48)-43-SUM($L157:P157)),0),0)</f>
        <v>0</v>
      </c>
      <c r="R157" s="66">
        <f>IF(R149&lt;&gt;"Dim",IF(SUM($L154:R154)&gt;43,(MIN(SUM($L154:R154),48)-43-SUM($L157:Q157)),0),0)</f>
        <v>0</v>
      </c>
      <c r="S157" s="60">
        <f t="shared" si="350"/>
        <v>0</v>
      </c>
      <c r="T157" s="60"/>
      <c r="U157" s="66">
        <f>IF(U149&lt;&gt;"Dim",IF(U154&gt;43,(MIN(U154,48)-43),0),0)</f>
        <v>0</v>
      </c>
      <c r="V157" s="66">
        <f>IF(V149&lt;&gt;"Dim",IF(SUM($U154:V154)&gt;43,(MIN(SUM($U154:V154),48)-43-SUM($U157:U157)),0),0)</f>
        <v>0</v>
      </c>
      <c r="W157" s="66">
        <f>IF(W149&lt;&gt;"Dim",IF(SUM($U154:W154)&gt;43,(MIN(SUM($U154:W154),48)-43-SUM($U157:V157)),0),0)</f>
        <v>0</v>
      </c>
      <c r="X157" s="66">
        <f>IF(X149&lt;&gt;"Dim",IF(SUM($U154:X154)&gt;43,(MIN(SUM($U154:X154),48)-43-SUM($U157:W157)),0),0)</f>
        <v>0</v>
      </c>
      <c r="Y157" s="66">
        <f>IF(Y149&lt;&gt;"Dim",IF(SUM($U154:Y154)&gt;43,(MIN(SUM($U154:Y154),48)-43-SUM($U157:X157)),0),0)</f>
        <v>0</v>
      </c>
      <c r="Z157" s="66">
        <f>IF(Z149&lt;&gt;"Dim",IF(SUM($U154:Z154)&gt;43,(MIN(SUM($U154:Z154),48)-43-SUM($U157:Y157)),0),0)</f>
        <v>0</v>
      </c>
      <c r="AA157" s="66">
        <f>IF(AA149&lt;&gt;"Dim",IF(SUM($U154:AA154)&gt;43,(MIN(SUM($U154:AA154),48)-43-SUM($U157:Z157)),0),0)</f>
        <v>0</v>
      </c>
      <c r="AB157" s="60">
        <f t="shared" si="352"/>
        <v>0</v>
      </c>
      <c r="AC157" s="60"/>
      <c r="AD157" s="66">
        <f>IF(AD149&lt;&gt;"Dim",IF(AD154&gt;43,(MIN(AD154,48)-43),0),0)</f>
        <v>0</v>
      </c>
      <c r="AE157" s="66">
        <f>IF(AE149&lt;&gt;"Dim",IF(SUM($AD154:AE154)&gt;43,(MIN(SUM($AD154:AE154),48)-43-SUM($AD157:AD157)),0),0)</f>
        <v>0</v>
      </c>
      <c r="AF157" s="66">
        <f>IF(AF149&lt;&gt;"Dim",IF(SUM($AD154:AF154)&gt;43,(MIN(SUM($AD154:AF154),48)-43-SUM($AD157:AE157)),0),0)</f>
        <v>0</v>
      </c>
      <c r="AG157" s="66">
        <f>IF(AG149&lt;&gt;"Dim",IF(SUM($AD154:AG154)&gt;43,(MIN(SUM($AD154:AG154),48)-43-SUM($AD157:AF157)),0),0)</f>
        <v>0</v>
      </c>
      <c r="AH157" s="66">
        <f>IF(AH149&lt;&gt;"Dim",IF(SUM($AD154:AH154)&gt;43,(MIN(SUM($AD154:AH154),48)-43-SUM($AD157:AG157)),0),0)</f>
        <v>0</v>
      </c>
      <c r="AI157" s="66">
        <f>IF(AI149&lt;&gt;"Dim",IF(SUM($AD154:AI154)&gt;43,(MIN(SUM($AD154:AI154),48)-43-SUM($AD157:AH157)),0),0)</f>
        <v>0</v>
      </c>
      <c r="AJ157" s="66">
        <f>IF(AJ149&lt;&gt;"Dim",IF(SUM($AD154:AJ154)&gt;43,(MIN(SUM($AD154:AJ154),48)-43-SUM($AD157:AI157)),0),0)</f>
        <v>0</v>
      </c>
      <c r="AK157" s="60">
        <f t="shared" si="354"/>
        <v>0</v>
      </c>
      <c r="AL157" s="60"/>
      <c r="AM157" s="66">
        <f>IF(AM149&lt;&gt;"Dim",IF(AM154&gt;43,(MIN(AM154,48)-43),0),0)</f>
        <v>0</v>
      </c>
      <c r="AN157" s="66">
        <f>IF(AN149&lt;&gt;"Dim",IF(SUM($AM154:AN154)&gt;43,(MIN(SUM($AM154:AN154),48)-43-SUM($AM157:AM157)),0),0)</f>
        <v>0</v>
      </c>
      <c r="AO157" s="66">
        <f>IF(AO149&lt;&gt;"Dim",IF(SUM($AM154:AO154)&gt;43,(MIN(SUM($AM154:AO154),48)-43-SUM($AM157:AN157)),0),0)</f>
        <v>0</v>
      </c>
      <c r="AP157" s="66">
        <f>IF(AP149&lt;&gt;"Dim",IF(SUM($AM154:AP154)&gt;43,(MIN(SUM($AM154:AP154),48)-43-SUM($AM157:AO157)),0),0)</f>
        <v>0</v>
      </c>
      <c r="AQ157" s="66">
        <f>IF(AQ149&lt;&gt;"Dim",IF(SUM($AM154:AQ154)&gt;43,(MIN(SUM($AM154:AQ154),48)-43-SUM($AM157:AP157)),0),0)</f>
        <v>0</v>
      </c>
      <c r="AR157" s="66">
        <f>IF(AR149&lt;&gt;"Dim",IF(SUM($AM154:AR154)&gt;43,(MIN(SUM($AM154:AR154),48)-43-SUM($AM157:AQ157)),0),0)</f>
        <v>0</v>
      </c>
      <c r="AS157" s="66">
        <f>IF(AS149&lt;&gt;"Dim",IF(SUM($AM154:AS154)&gt;43,(MIN(SUM($AM154:AS154),48)-43-SUM($AM157:AR157)),0),0)</f>
        <v>0</v>
      </c>
      <c r="AT157" s="60">
        <f t="shared" si="356"/>
        <v>0</v>
      </c>
      <c r="AU157" s="60"/>
      <c r="AV157" s="66">
        <f>IF(AV149&lt;&gt;"Dim",IF(AV154&gt;43,(MIN(AV154,48)-43),0),0)</f>
        <v>0</v>
      </c>
      <c r="AW157" s="66">
        <f>IF(AW149&lt;&gt;"Dim",IF(SUM($AV154:AW154)&gt;43,(MIN(SUM($AV154:AW154),48)-43-SUM($AV157:AV157)),0),0)</f>
        <v>0</v>
      </c>
      <c r="AX157" s="60">
        <f t="shared" si="346"/>
        <v>0</v>
      </c>
      <c r="AY157" s="60">
        <f t="shared" si="358"/>
        <v>0</v>
      </c>
    </row>
    <row r="158" spans="1:58" ht="15" customHeight="1" x14ac:dyDescent="0.25">
      <c r="A158" s="21" t="s">
        <v>7</v>
      </c>
      <c r="B158" s="81"/>
      <c r="C158" s="66">
        <f>IF(C149="Dim",C154,IF(C164="ferie",C154,0))</f>
        <v>0</v>
      </c>
      <c r="D158" s="66">
        <f t="shared" ref="D158:I158" si="365">IF(D149="Dim",D154,IF(D164="ferie",D154,0))</f>
        <v>0</v>
      </c>
      <c r="E158" s="66">
        <f t="shared" si="365"/>
        <v>0</v>
      </c>
      <c r="F158" s="66">
        <f t="shared" si="365"/>
        <v>0</v>
      </c>
      <c r="G158" s="66">
        <f t="shared" si="365"/>
        <v>0</v>
      </c>
      <c r="H158" s="66">
        <f t="shared" si="365"/>
        <v>0</v>
      </c>
      <c r="I158" s="66">
        <f t="shared" si="365"/>
        <v>0</v>
      </c>
      <c r="J158" s="60">
        <f t="shared" si="348"/>
        <v>0</v>
      </c>
      <c r="K158" s="60"/>
      <c r="L158" s="66">
        <f>IF(L149="Dim",L154,IF(L164="ferie",L154,0))</f>
        <v>0</v>
      </c>
      <c r="M158" s="66">
        <f t="shared" ref="M158:R158" si="366">IF(M149="Dim",M154,IF(M164="ferie",M154,0))</f>
        <v>0</v>
      </c>
      <c r="N158" s="66">
        <f t="shared" si="366"/>
        <v>0</v>
      </c>
      <c r="O158" s="66">
        <f t="shared" si="366"/>
        <v>0</v>
      </c>
      <c r="P158" s="66">
        <f t="shared" si="366"/>
        <v>0</v>
      </c>
      <c r="Q158" s="66">
        <f>IF(Q149="Dim",Q154,IF(Q164="ferie",Q154,0))</f>
        <v>0</v>
      </c>
      <c r="R158" s="66">
        <f t="shared" si="366"/>
        <v>0</v>
      </c>
      <c r="S158" s="60">
        <f t="shared" si="350"/>
        <v>0</v>
      </c>
      <c r="T158" s="60"/>
      <c r="U158" s="66">
        <f>IF(U149="Dim",U154,IF(U164="ferie",U154,0))</f>
        <v>0</v>
      </c>
      <c r="V158" s="66">
        <f t="shared" ref="V158:AA158" si="367">IF(V149="Dim",V154,IF(V164="ferie",V154,0))</f>
        <v>0</v>
      </c>
      <c r="W158" s="66">
        <f t="shared" si="367"/>
        <v>0</v>
      </c>
      <c r="X158" s="66">
        <f t="shared" si="367"/>
        <v>0</v>
      </c>
      <c r="Y158" s="66">
        <f t="shared" si="367"/>
        <v>0</v>
      </c>
      <c r="Z158" s="66">
        <f t="shared" si="367"/>
        <v>0</v>
      </c>
      <c r="AA158" s="66">
        <f t="shared" si="367"/>
        <v>0</v>
      </c>
      <c r="AB158" s="60">
        <f t="shared" si="352"/>
        <v>0</v>
      </c>
      <c r="AC158" s="60"/>
      <c r="AD158" s="66">
        <f>IF(AD149="Dim",AD154,IF(AD164="ferie",AD154,0))</f>
        <v>0</v>
      </c>
      <c r="AE158" s="66">
        <f t="shared" ref="AE158:AJ158" si="368">IF(AE149="Dim",AE154,IF(AE164="ferie",AE154,0))</f>
        <v>0</v>
      </c>
      <c r="AF158" s="66">
        <f t="shared" si="368"/>
        <v>0</v>
      </c>
      <c r="AG158" s="66">
        <f t="shared" si="368"/>
        <v>0</v>
      </c>
      <c r="AH158" s="66">
        <f t="shared" si="368"/>
        <v>0</v>
      </c>
      <c r="AI158" s="66">
        <f t="shared" si="368"/>
        <v>0</v>
      </c>
      <c r="AJ158" s="66">
        <f t="shared" si="368"/>
        <v>0</v>
      </c>
      <c r="AK158" s="60">
        <f t="shared" si="354"/>
        <v>0</v>
      </c>
      <c r="AL158" s="60"/>
      <c r="AM158" s="66">
        <f>IF(AM149="Dim",AM154,IF(AM164="ferie",AM154,0))</f>
        <v>0</v>
      </c>
      <c r="AN158" s="66">
        <f t="shared" ref="AN158:AW158" si="369">IF(AN149="Dim",AN154,IF(AN164="ferie",AN154,0))</f>
        <v>0</v>
      </c>
      <c r="AO158" s="66">
        <f t="shared" si="369"/>
        <v>0</v>
      </c>
      <c r="AP158" s="66">
        <f t="shared" si="369"/>
        <v>0</v>
      </c>
      <c r="AQ158" s="66">
        <f t="shared" si="369"/>
        <v>0</v>
      </c>
      <c r="AR158" s="66">
        <f t="shared" si="369"/>
        <v>0</v>
      </c>
      <c r="AS158" s="66">
        <f t="shared" si="369"/>
        <v>0</v>
      </c>
      <c r="AT158" s="60">
        <f>SUM(AM158:AS158)</f>
        <v>0</v>
      </c>
      <c r="AU158" s="60"/>
      <c r="AV158" s="66">
        <f>IF(AV149="Dim",AV154,IF(AV164="ferie",AV154,0))</f>
        <v>0</v>
      </c>
      <c r="AW158" s="66">
        <f t="shared" si="369"/>
        <v>0</v>
      </c>
      <c r="AX158" s="60">
        <f t="shared" si="346"/>
        <v>0</v>
      </c>
      <c r="AY158" s="60">
        <f t="shared" si="358"/>
        <v>0</v>
      </c>
    </row>
    <row r="159" spans="1:58" ht="15" customHeight="1" x14ac:dyDescent="0.25">
      <c r="A159" s="21" t="s">
        <v>8</v>
      </c>
      <c r="B159" s="81"/>
      <c r="C159" s="31"/>
      <c r="D159" s="31"/>
      <c r="E159" s="31"/>
      <c r="F159" s="31"/>
      <c r="G159" s="31"/>
      <c r="H159" s="31"/>
      <c r="I159" s="31"/>
      <c r="J159" s="60">
        <f t="shared" si="348"/>
        <v>0</v>
      </c>
      <c r="K159" s="60"/>
      <c r="L159" s="31"/>
      <c r="M159" s="31"/>
      <c r="N159" s="31"/>
      <c r="O159" s="31"/>
      <c r="P159" s="31"/>
      <c r="Q159" s="31"/>
      <c r="R159" s="31"/>
      <c r="S159" s="60">
        <f t="shared" si="350"/>
        <v>0</v>
      </c>
      <c r="T159" s="60"/>
      <c r="U159" s="31"/>
      <c r="V159" s="31"/>
      <c r="W159" s="31"/>
      <c r="X159" s="31"/>
      <c r="Y159" s="31"/>
      <c r="Z159" s="31"/>
      <c r="AA159" s="31"/>
      <c r="AB159" s="60">
        <f t="shared" si="352"/>
        <v>0</v>
      </c>
      <c r="AC159" s="60"/>
      <c r="AD159" s="31"/>
      <c r="AE159" s="31"/>
      <c r="AF159" s="31"/>
      <c r="AG159" s="31"/>
      <c r="AH159" s="31"/>
      <c r="AI159" s="31"/>
      <c r="AJ159" s="31"/>
      <c r="AK159" s="60">
        <f t="shared" si="354"/>
        <v>0</v>
      </c>
      <c r="AL159" s="60"/>
      <c r="AM159" s="31"/>
      <c r="AN159" s="31"/>
      <c r="AO159" s="31"/>
      <c r="AP159" s="31"/>
      <c r="AQ159" s="31"/>
      <c r="AR159" s="31"/>
      <c r="AS159" s="31"/>
      <c r="AT159" s="60">
        <f t="shared" si="356"/>
        <v>0</v>
      </c>
      <c r="AU159" s="60"/>
      <c r="AV159" s="31"/>
      <c r="AW159" s="31"/>
      <c r="AX159" s="60">
        <f t="shared" si="346"/>
        <v>0</v>
      </c>
      <c r="AY159" s="60">
        <f t="shared" si="358"/>
        <v>0</v>
      </c>
    </row>
    <row r="160" spans="1:58" ht="15" customHeight="1" x14ac:dyDescent="0.25">
      <c r="A160" s="36" t="s">
        <v>9</v>
      </c>
      <c r="B160" s="82"/>
      <c r="C160" s="31"/>
      <c r="D160" s="31"/>
      <c r="E160" s="31"/>
      <c r="F160" s="31"/>
      <c r="G160" s="31"/>
      <c r="H160" s="31"/>
      <c r="I160" s="31"/>
      <c r="J160" s="60">
        <f t="shared" si="348"/>
        <v>0</v>
      </c>
      <c r="K160" s="60"/>
      <c r="L160" s="31"/>
      <c r="M160" s="31"/>
      <c r="N160" s="31"/>
      <c r="O160" s="31"/>
      <c r="P160" s="31"/>
      <c r="Q160" s="31"/>
      <c r="R160" s="31"/>
      <c r="S160" s="60">
        <f t="shared" si="350"/>
        <v>0</v>
      </c>
      <c r="T160" s="60"/>
      <c r="U160" s="31"/>
      <c r="V160" s="31"/>
      <c r="W160" s="31"/>
      <c r="X160" s="31"/>
      <c r="Y160" s="31"/>
      <c r="Z160" s="31"/>
      <c r="AA160" s="31"/>
      <c r="AB160" s="60">
        <f t="shared" si="352"/>
        <v>0</v>
      </c>
      <c r="AC160" s="60"/>
      <c r="AD160" s="31"/>
      <c r="AE160" s="31"/>
      <c r="AF160" s="31"/>
      <c r="AG160" s="31"/>
      <c r="AH160" s="31"/>
      <c r="AI160" s="31"/>
      <c r="AJ160" s="31"/>
      <c r="AK160" s="60">
        <f t="shared" si="354"/>
        <v>0</v>
      </c>
      <c r="AL160" s="60"/>
      <c r="AM160" s="31"/>
      <c r="AN160" s="31"/>
      <c r="AO160" s="31"/>
      <c r="AP160" s="31"/>
      <c r="AQ160" s="31"/>
      <c r="AR160" s="31"/>
      <c r="AS160" s="31"/>
      <c r="AT160" s="60">
        <f t="shared" si="356"/>
        <v>0</v>
      </c>
      <c r="AU160" s="60"/>
      <c r="AV160" s="31"/>
      <c r="AW160" s="31"/>
      <c r="AX160" s="60">
        <f t="shared" ref="AX160:AX162" si="370">SUM(AV160:AW160)</f>
        <v>0</v>
      </c>
      <c r="AY160" s="60">
        <f t="shared" si="358"/>
        <v>0</v>
      </c>
    </row>
    <row r="161" spans="1:58" ht="15" customHeight="1" x14ac:dyDescent="0.25">
      <c r="A161" s="21" t="s">
        <v>11</v>
      </c>
      <c r="B161" s="81"/>
      <c r="C161" s="31"/>
      <c r="D161" s="31"/>
      <c r="E161" s="31"/>
      <c r="F161" s="31"/>
      <c r="G161" s="31"/>
      <c r="H161" s="31"/>
      <c r="I161" s="31"/>
      <c r="J161" s="60">
        <f t="shared" si="348"/>
        <v>0</v>
      </c>
      <c r="K161" s="60"/>
      <c r="L161" s="31"/>
      <c r="M161" s="31"/>
      <c r="N161" s="31"/>
      <c r="O161" s="31"/>
      <c r="P161" s="31"/>
      <c r="Q161" s="31"/>
      <c r="R161" s="31"/>
      <c r="S161" s="60">
        <f t="shared" si="350"/>
        <v>0</v>
      </c>
      <c r="T161" s="60"/>
      <c r="U161" s="31"/>
      <c r="V161" s="31"/>
      <c r="W161" s="31"/>
      <c r="X161" s="31"/>
      <c r="Y161" s="31"/>
      <c r="Z161" s="31"/>
      <c r="AA161" s="31"/>
      <c r="AB161" s="60">
        <f t="shared" si="352"/>
        <v>0</v>
      </c>
      <c r="AC161" s="60"/>
      <c r="AD161" s="31"/>
      <c r="AE161" s="31"/>
      <c r="AF161" s="31"/>
      <c r="AG161" s="31"/>
      <c r="AH161" s="31"/>
      <c r="AI161" s="31"/>
      <c r="AJ161" s="31"/>
      <c r="AK161" s="60">
        <f t="shared" si="354"/>
        <v>0</v>
      </c>
      <c r="AL161" s="60"/>
      <c r="AM161" s="31"/>
      <c r="AN161" s="31"/>
      <c r="AO161" s="31"/>
      <c r="AP161" s="31"/>
      <c r="AQ161" s="31"/>
      <c r="AR161" s="31"/>
      <c r="AS161" s="31"/>
      <c r="AT161" s="60">
        <f t="shared" si="356"/>
        <v>0</v>
      </c>
      <c r="AU161" s="60"/>
      <c r="AV161" s="31"/>
      <c r="AW161" s="31"/>
      <c r="AX161" s="60">
        <f t="shared" si="370"/>
        <v>0</v>
      </c>
      <c r="AY161" s="60">
        <f t="shared" si="358"/>
        <v>0</v>
      </c>
    </row>
    <row r="162" spans="1:58" ht="15" customHeight="1" x14ac:dyDescent="0.25">
      <c r="A162" s="36" t="s">
        <v>10</v>
      </c>
      <c r="B162" s="82"/>
      <c r="C162" s="31"/>
      <c r="D162" s="31"/>
      <c r="E162" s="31"/>
      <c r="F162" s="31"/>
      <c r="G162" s="31"/>
      <c r="H162" s="31"/>
      <c r="I162" s="31"/>
      <c r="J162" s="60">
        <f t="shared" si="348"/>
        <v>0</v>
      </c>
      <c r="K162" s="60"/>
      <c r="L162" s="31"/>
      <c r="M162" s="31"/>
      <c r="N162" s="31"/>
      <c r="O162" s="31"/>
      <c r="P162" s="31"/>
      <c r="Q162" s="31"/>
      <c r="R162" s="31"/>
      <c r="S162" s="60">
        <f t="shared" si="350"/>
        <v>0</v>
      </c>
      <c r="T162" s="60"/>
      <c r="U162" s="31"/>
      <c r="V162" s="31"/>
      <c r="W162" s="31"/>
      <c r="X162" s="31"/>
      <c r="Y162" s="31"/>
      <c r="Z162" s="31"/>
      <c r="AA162" s="31"/>
      <c r="AB162" s="60">
        <f t="shared" si="352"/>
        <v>0</v>
      </c>
      <c r="AC162" s="60"/>
      <c r="AD162" s="31"/>
      <c r="AE162" s="31"/>
      <c r="AF162" s="31"/>
      <c r="AG162" s="31"/>
      <c r="AH162" s="31"/>
      <c r="AI162" s="31"/>
      <c r="AJ162" s="31"/>
      <c r="AK162" s="60">
        <f t="shared" si="354"/>
        <v>0</v>
      </c>
      <c r="AL162" s="60"/>
      <c r="AM162" s="31"/>
      <c r="AN162" s="31"/>
      <c r="AO162" s="31"/>
      <c r="AP162" s="31"/>
      <c r="AQ162" s="31"/>
      <c r="AR162" s="31"/>
      <c r="AS162" s="31"/>
      <c r="AT162" s="60">
        <f t="shared" si="356"/>
        <v>0</v>
      </c>
      <c r="AU162" s="60"/>
      <c r="AV162" s="31"/>
      <c r="AW162" s="31"/>
      <c r="AX162" s="60">
        <f t="shared" si="370"/>
        <v>0</v>
      </c>
      <c r="AY162" s="60">
        <f t="shared" si="358"/>
        <v>0</v>
      </c>
    </row>
    <row r="163" spans="1:58" s="33" customFormat="1" ht="15" customHeight="1" x14ac:dyDescent="0.25">
      <c r="A163" s="36" t="s">
        <v>44</v>
      </c>
      <c r="B163" s="82"/>
      <c r="C163" s="60">
        <f>IF(C151="nuit",C154*0.02,0)</f>
        <v>0</v>
      </c>
      <c r="D163" s="60">
        <f>IF(D151="nuit",D154*0.02,0)</f>
        <v>0</v>
      </c>
      <c r="E163" s="60">
        <f t="shared" ref="E163:I163" si="371">IF(E151="nuit",E154*0.02,0)</f>
        <v>0</v>
      </c>
      <c r="F163" s="60">
        <f t="shared" si="371"/>
        <v>0</v>
      </c>
      <c r="G163" s="60">
        <f>IF(G151="nuit",G154*0.02,0)</f>
        <v>0</v>
      </c>
      <c r="H163" s="60">
        <f t="shared" si="371"/>
        <v>0</v>
      </c>
      <c r="I163" s="60">
        <f t="shared" si="371"/>
        <v>0</v>
      </c>
      <c r="J163" s="60">
        <f t="shared" si="348"/>
        <v>0</v>
      </c>
      <c r="K163" s="60"/>
      <c r="L163" s="60">
        <f>IF(L151="nuit",L154*0.02,0)</f>
        <v>0</v>
      </c>
      <c r="M163" s="60">
        <f>IF(M151="nuit",M154*0.02,0)</f>
        <v>0</v>
      </c>
      <c r="N163" s="60">
        <f t="shared" ref="N163:R163" si="372">IF(N151="nuit",N154*0.02,0)</f>
        <v>0</v>
      </c>
      <c r="O163" s="60">
        <f t="shared" si="372"/>
        <v>0</v>
      </c>
      <c r="P163" s="60">
        <f>IF(P151="nuit",P154*0.02,0)</f>
        <v>0</v>
      </c>
      <c r="Q163" s="60">
        <f t="shared" si="372"/>
        <v>0</v>
      </c>
      <c r="R163" s="60">
        <f t="shared" si="372"/>
        <v>0</v>
      </c>
      <c r="S163" s="60">
        <f t="shared" si="350"/>
        <v>0</v>
      </c>
      <c r="T163" s="60"/>
      <c r="U163" s="60">
        <f>IF(U151="nuit",U154*0.02,0)</f>
        <v>0</v>
      </c>
      <c r="V163" s="60">
        <f>IF(V151="nuit",V154*0.02,0)</f>
        <v>0</v>
      </c>
      <c r="W163" s="60">
        <f t="shared" ref="W163:AA163" si="373">IF(W151="nuit",W154*0.02,0)</f>
        <v>0</v>
      </c>
      <c r="X163" s="60">
        <f t="shared" si="373"/>
        <v>0</v>
      </c>
      <c r="Y163" s="60">
        <f>IF(Y151="nuit",Y154*0.02,0)</f>
        <v>0</v>
      </c>
      <c r="Z163" s="60">
        <f t="shared" si="373"/>
        <v>0</v>
      </c>
      <c r="AA163" s="60">
        <f t="shared" si="373"/>
        <v>0</v>
      </c>
      <c r="AB163" s="60">
        <f t="shared" si="352"/>
        <v>0</v>
      </c>
      <c r="AC163" s="60"/>
      <c r="AD163" s="60">
        <f>IF(AD151="nuit",AD154*0.02,0)</f>
        <v>0</v>
      </c>
      <c r="AE163" s="60">
        <f>IF(AE151="nuit",AE154*0.02,0)</f>
        <v>0</v>
      </c>
      <c r="AF163" s="60">
        <f t="shared" ref="AF163:AJ163" si="374">IF(AF151="nuit",AF154*0.02,0)</f>
        <v>0</v>
      </c>
      <c r="AG163" s="60">
        <f t="shared" si="374"/>
        <v>0</v>
      </c>
      <c r="AH163" s="60">
        <f>IF(AH151="nuit",AH154*0.02,0)</f>
        <v>0</v>
      </c>
      <c r="AI163" s="60">
        <f t="shared" si="374"/>
        <v>0</v>
      </c>
      <c r="AJ163" s="60">
        <f t="shared" si="374"/>
        <v>0</v>
      </c>
      <c r="AK163" s="60">
        <f t="shared" si="354"/>
        <v>0</v>
      </c>
      <c r="AL163" s="60"/>
      <c r="AM163" s="60">
        <f>IF(AM151="nuit",AM154*0.02,0)</f>
        <v>0</v>
      </c>
      <c r="AN163" s="60">
        <f>IF(AN151="nuit",AN154*0.02,0)</f>
        <v>0</v>
      </c>
      <c r="AO163" s="60">
        <f t="shared" ref="AO163:AS163" si="375">IF(AO151="nuit",AO154*0.02,0)</f>
        <v>0</v>
      </c>
      <c r="AP163" s="60">
        <f t="shared" si="375"/>
        <v>0</v>
      </c>
      <c r="AQ163" s="60">
        <f>IF(AQ151="nuit",AQ154*0.02,0)</f>
        <v>0</v>
      </c>
      <c r="AR163" s="60">
        <f t="shared" si="375"/>
        <v>0</v>
      </c>
      <c r="AS163" s="60">
        <f t="shared" si="375"/>
        <v>0</v>
      </c>
      <c r="AT163" s="60">
        <f t="shared" si="356"/>
        <v>0</v>
      </c>
      <c r="AU163" s="60"/>
      <c r="AV163" s="60">
        <f>IF(AV151="nuit",AV154*0.02,0)</f>
        <v>0</v>
      </c>
      <c r="AW163" s="60">
        <f>IF(AW151="nuit",AW154*0.02,0)</f>
        <v>0</v>
      </c>
      <c r="AX163" s="60">
        <f>SUM(AV163:AW163)</f>
        <v>0</v>
      </c>
      <c r="AY163" s="60">
        <f>J163+S163+AB163+AK163+AT163+AX163</f>
        <v>0</v>
      </c>
      <c r="AZ163" s="52"/>
      <c r="BA163" s="52"/>
      <c r="BB163" s="52"/>
      <c r="BC163" s="52"/>
      <c r="BD163" s="52"/>
      <c r="BE163" s="52"/>
      <c r="BF163" s="35"/>
    </row>
    <row r="164" spans="1:58" ht="15" customHeight="1" x14ac:dyDescent="0.25">
      <c r="A164" s="21" t="s">
        <v>31</v>
      </c>
      <c r="B164" s="81"/>
      <c r="C164" s="31"/>
      <c r="D164" s="31"/>
      <c r="E164" s="31"/>
      <c r="F164" s="31"/>
      <c r="G164" s="31"/>
      <c r="H164" s="37"/>
      <c r="I164" s="37"/>
      <c r="J164" s="64"/>
      <c r="K164" s="64"/>
      <c r="L164" s="37"/>
      <c r="M164" s="37"/>
      <c r="N164" s="37"/>
      <c r="O164" s="37"/>
      <c r="P164" s="37"/>
      <c r="Q164" s="37"/>
      <c r="R164" s="37"/>
      <c r="S164" s="64"/>
      <c r="T164" s="64"/>
      <c r="U164" s="37"/>
      <c r="V164" s="37"/>
      <c r="W164" s="37"/>
      <c r="X164" s="37"/>
      <c r="Y164" s="37"/>
      <c r="Z164" s="37"/>
      <c r="AA164" s="37"/>
      <c r="AB164" s="64"/>
      <c r="AC164" s="64"/>
      <c r="AD164" s="37"/>
      <c r="AE164" s="37"/>
      <c r="AF164" s="37"/>
      <c r="AG164" s="37"/>
      <c r="AH164" s="37"/>
      <c r="AI164" s="37"/>
      <c r="AJ164" s="37"/>
      <c r="AK164" s="64"/>
      <c r="AL164" s="64"/>
      <c r="AM164" s="37"/>
      <c r="AN164" s="37"/>
      <c r="AO164" s="37"/>
      <c r="AP164" s="37"/>
      <c r="AQ164" s="37"/>
      <c r="AR164" s="37"/>
      <c r="AS164" s="37"/>
      <c r="AT164" s="64"/>
      <c r="AU164" s="64"/>
      <c r="AV164" s="37"/>
      <c r="AW164" s="37"/>
      <c r="AX164" s="64"/>
      <c r="AY164" s="65"/>
    </row>
    <row r="165" spans="1:58" ht="15" customHeight="1" x14ac:dyDescent="0.25">
      <c r="A165" s="38"/>
      <c r="B165" s="38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69"/>
    </row>
    <row r="166" spans="1:58" ht="27.6" x14ac:dyDescent="0.25">
      <c r="A166" s="21"/>
      <c r="B166" s="21"/>
      <c r="C166" s="24" t="s">
        <v>28</v>
      </c>
      <c r="D166" s="24"/>
      <c r="E166" s="24"/>
      <c r="F166" s="24"/>
      <c r="G166" s="24"/>
      <c r="H166" s="95">
        <f>Année_Calendaire</f>
        <v>2016</v>
      </c>
      <c r="I166" s="95"/>
      <c r="J166" s="49"/>
      <c r="K166" s="79"/>
      <c r="L166" s="31"/>
      <c r="M166" s="31"/>
      <c r="N166" s="31"/>
      <c r="O166" s="31"/>
      <c r="P166" s="31"/>
      <c r="Q166" s="31"/>
      <c r="R166" s="31"/>
      <c r="S166" s="49"/>
      <c r="T166" s="79"/>
      <c r="U166" s="24" t="s">
        <v>28</v>
      </c>
      <c r="V166" s="24"/>
      <c r="W166" s="24"/>
      <c r="X166" s="24"/>
      <c r="Y166" s="24"/>
      <c r="Z166" s="95">
        <f>Année_Calendaire</f>
        <v>2016</v>
      </c>
      <c r="AA166" s="95"/>
      <c r="AB166" s="49"/>
      <c r="AC166" s="79"/>
      <c r="AD166" s="31"/>
      <c r="AE166" s="31"/>
      <c r="AF166" s="31"/>
      <c r="AG166" s="31"/>
      <c r="AH166" s="31"/>
      <c r="AI166" s="31"/>
      <c r="AJ166" s="31"/>
      <c r="AK166" s="49"/>
      <c r="AL166" s="79"/>
      <c r="AM166" s="24" t="s">
        <v>28</v>
      </c>
      <c r="AN166" s="24"/>
      <c r="AO166" s="24"/>
      <c r="AP166" s="24"/>
      <c r="AQ166" s="24"/>
      <c r="AR166" s="95">
        <f>Année_Calendaire</f>
        <v>2016</v>
      </c>
      <c r="AS166" s="95"/>
      <c r="AT166" s="49"/>
      <c r="AU166" s="79"/>
      <c r="AV166" s="31"/>
      <c r="AW166" s="31"/>
      <c r="AX166" s="49"/>
    </row>
    <row r="167" spans="1:58" ht="29.25" customHeight="1" x14ac:dyDescent="0.25">
      <c r="A167" s="31"/>
      <c r="B167" s="31"/>
      <c r="C167" s="62" t="s">
        <v>13</v>
      </c>
      <c r="D167" s="62" t="s">
        <v>14</v>
      </c>
      <c r="E167" s="62" t="s">
        <v>15</v>
      </c>
      <c r="F167" s="62" t="s">
        <v>16</v>
      </c>
      <c r="G167" s="62" t="s">
        <v>17</v>
      </c>
      <c r="H167" s="62" t="s">
        <v>18</v>
      </c>
      <c r="I167" s="62" t="s">
        <v>19</v>
      </c>
      <c r="J167" s="96" t="s">
        <v>32</v>
      </c>
      <c r="K167" s="85"/>
      <c r="L167" s="62" t="s">
        <v>13</v>
      </c>
      <c r="M167" s="62" t="s">
        <v>14</v>
      </c>
      <c r="N167" s="62" t="s">
        <v>15</v>
      </c>
      <c r="O167" s="62" t="s">
        <v>16</v>
      </c>
      <c r="P167" s="62" t="s">
        <v>17</v>
      </c>
      <c r="Q167" s="62" t="s">
        <v>18</v>
      </c>
      <c r="R167" s="62" t="s">
        <v>19</v>
      </c>
      <c r="S167" s="96" t="s">
        <v>32</v>
      </c>
      <c r="T167" s="85"/>
      <c r="U167" s="62" t="s">
        <v>13</v>
      </c>
      <c r="V167" s="62" t="s">
        <v>14</v>
      </c>
      <c r="W167" s="62" t="s">
        <v>15</v>
      </c>
      <c r="X167" s="62" t="s">
        <v>16</v>
      </c>
      <c r="Y167" s="62" t="s">
        <v>17</v>
      </c>
      <c r="Z167" s="62" t="s">
        <v>18</v>
      </c>
      <c r="AA167" s="62" t="s">
        <v>19</v>
      </c>
      <c r="AB167" s="96" t="s">
        <v>32</v>
      </c>
      <c r="AC167" s="85"/>
      <c r="AD167" s="62" t="s">
        <v>13</v>
      </c>
      <c r="AE167" s="62" t="s">
        <v>14</v>
      </c>
      <c r="AF167" s="62" t="s">
        <v>15</v>
      </c>
      <c r="AG167" s="62" t="s">
        <v>16</v>
      </c>
      <c r="AH167" s="62" t="s">
        <v>17</v>
      </c>
      <c r="AI167" s="62" t="s">
        <v>18</v>
      </c>
      <c r="AJ167" s="62" t="s">
        <v>19</v>
      </c>
      <c r="AK167" s="96" t="s">
        <v>32</v>
      </c>
      <c r="AL167" s="85"/>
      <c r="AM167" s="62" t="s">
        <v>13</v>
      </c>
      <c r="AN167" s="62" t="s">
        <v>14</v>
      </c>
      <c r="AO167" s="62" t="s">
        <v>15</v>
      </c>
      <c r="AP167" s="62" t="s">
        <v>16</v>
      </c>
      <c r="AQ167" s="62" t="s">
        <v>17</v>
      </c>
      <c r="AR167" s="62" t="s">
        <v>18</v>
      </c>
      <c r="AS167" s="62" t="s">
        <v>19</v>
      </c>
      <c r="AT167" s="96" t="s">
        <v>32</v>
      </c>
      <c r="AU167" s="85" t="s">
        <v>79</v>
      </c>
      <c r="AV167" s="62" t="s">
        <v>13</v>
      </c>
      <c r="AW167" s="62" t="s">
        <v>14</v>
      </c>
      <c r="AX167" s="96" t="s">
        <v>32</v>
      </c>
      <c r="AY167" s="96" t="s">
        <v>35</v>
      </c>
      <c r="AZ167" s="97">
        <f>AY174+AY175+AY176</f>
        <v>0</v>
      </c>
      <c r="BA167" s="97">
        <f>AZ167+BA149</f>
        <v>10</v>
      </c>
    </row>
    <row r="168" spans="1:58" ht="15" customHeight="1" x14ac:dyDescent="0.25">
      <c r="A168" s="45"/>
      <c r="B168" s="84"/>
      <c r="C168" s="67" t="str">
        <f>IF(DAY(Oct_Dim1)=1,"",IF(AND(YEAR(Oct_Dim1+1)=Année_Calendaire,MONTH(Oct_Dim1+1)=10),Oct_Dim1+1,""))</f>
        <v/>
      </c>
      <c r="D168" s="67" t="str">
        <f>IF(DAY(Oct_Dim1)=1,"",IF(AND(YEAR(Oct_Dim1+2)=Année_Calendaire,MONTH(Oct_Dim1+2)=10),Oct_Dim1+2,""))</f>
        <v/>
      </c>
      <c r="E168" s="67" t="str">
        <f>IF(DAY(Oct_Dim1)=1,"",IF(AND(YEAR(Oct_Dim1+3)=Année_Calendaire,MONTH(Oct_Dim1+3)=10),Oct_Dim1+3,""))</f>
        <v/>
      </c>
      <c r="F168" s="67" t="str">
        <f>IF(DAY(Oct_Dim1)=1,"",IF(AND(YEAR(Oct_Dim1+4)=Année_Calendaire,MONTH(Oct_Dim1+4)=10),Oct_Dim1+4,""))</f>
        <v/>
      </c>
      <c r="G168" s="67" t="str">
        <f>IF(DAY(Oct_Dim1)=1,"",IF(AND(YEAR(Oct_Dim1+5)=Année_Calendaire,MONTH(Oct_Dim1+5)=10),Oct_Dim1+5,""))</f>
        <v/>
      </c>
      <c r="H168" s="67">
        <f>IF(DAY(Oct_Dim1)=1,"",IF(AND(YEAR(Oct_Dim1+6)=Année_Calendaire,MONTH(Oct_Dim1+6)=10),Oct_Dim1+6,""))</f>
        <v>42644</v>
      </c>
      <c r="I168" s="67">
        <f>IF(DAY(Oct_Dim1)=1,IF(AND(YEAR(Oct_Dim1)=Année_Calendaire,MONTH(Oct_Dim1)=10),Oct_Dim1,""),IF(AND(YEAR(Oct_Dim1+7)=Année_Calendaire,MONTH(Oct_Dim1+7)=10),Oct_Dim1+7,""))</f>
        <v>42645</v>
      </c>
      <c r="J168" s="96"/>
      <c r="K168" s="78"/>
      <c r="L168" s="67">
        <f>IF(DAY(Oct_Dim1)=1,IF(AND(YEAR(Oct_Dim1+1)=Année_Calendaire,MONTH(Oct_Dim1+1)=10),Oct_Dim1+1,""),IF(AND(YEAR(Oct_Dim1+8)=Année_Calendaire,MONTH(Oct_Dim1+8)=10),Oct_Dim1+8,""))</f>
        <v>42646</v>
      </c>
      <c r="M168" s="67">
        <f>IF(DAY(Oct_Dim1)=1,IF(AND(YEAR(Oct_Dim1+2)=Année_Calendaire,MONTH(Oct_Dim1+2)=10),Oct_Dim1+2,""),IF(AND(YEAR(Oct_Dim1+9)=Année_Calendaire,MONTH(Oct_Dim1+9)=10),Oct_Dim1+9,""))</f>
        <v>42647</v>
      </c>
      <c r="N168" s="67">
        <f>IF(DAY(Oct_Dim1)=1,IF(AND(YEAR(Oct_Dim1+3)=Année_Calendaire,MONTH(Oct_Dim1+3)=10),Oct_Dim1+3,""),IF(AND(YEAR(Oct_Dim1+10)=Année_Calendaire,MONTH(Oct_Dim1+10)=10),Oct_Dim1+10,""))</f>
        <v>42648</v>
      </c>
      <c r="O168" s="67">
        <f>IF(DAY(Oct_Dim1)=1,IF(AND(YEAR(Oct_Dim1+4)=Année_Calendaire,MONTH(Oct_Dim1+4)=10),Oct_Dim1+4,""),IF(AND(YEAR(Oct_Dim1+11)=Année_Calendaire,MONTH(Oct_Dim1+11)=10),Oct_Dim1+11,""))</f>
        <v>42649</v>
      </c>
      <c r="P168" s="67">
        <f>IF(DAY(Oct_Dim1)=1,IF(AND(YEAR(Oct_Dim1+5)=Année_Calendaire,MONTH(Oct_Dim1+5)=10),Oct_Dim1+5,""),IF(AND(YEAR(Oct_Dim1+12)=Année_Calendaire,MONTH(Oct_Dim1+12)=10),Oct_Dim1+12,""))</f>
        <v>42650</v>
      </c>
      <c r="Q168" s="67">
        <f>IF(DAY(Oct_Dim1)=1,IF(AND(YEAR(Oct_Dim1+6)=Année_Calendaire,MONTH(Oct_Dim1+6)=10),Oct_Dim1+6,""),IF(AND(YEAR(Oct_Dim1+13)=Année_Calendaire,MONTH(Oct_Dim1+13)=10),Oct_Dim1+13,""))</f>
        <v>42651</v>
      </c>
      <c r="R168" s="67">
        <f>IF(DAY(Oct_Dim1)=1,IF(AND(YEAR(Oct_Dim1+7)=Année_Calendaire,MONTH(Oct_Dim1+7)=10),Oct_Dim1+7,""),IF(AND(YEAR(Oct_Dim1+14)=Année_Calendaire,MONTH(Oct_Dim1+14)=10),Oct_Dim1+14,""))</f>
        <v>42652</v>
      </c>
      <c r="S168" s="96"/>
      <c r="T168" s="78"/>
      <c r="U168" s="67">
        <f>IF(DAY(Oct_Dim1)=1,IF(AND(YEAR(Oct_Dim1+8)=Année_Calendaire,MONTH(Oct_Dim1+8)=10),Oct_Dim1+8,""),IF(AND(YEAR(Oct_Dim1+15)=Année_Calendaire,MONTH(Oct_Dim1+15)=10),Oct_Dim1+15,""))</f>
        <v>42653</v>
      </c>
      <c r="V168" s="67">
        <f>IF(DAY(Oct_Dim1)=1,IF(AND(YEAR(Oct_Dim1+9)=Année_Calendaire,MONTH(Oct_Dim1+9)=10),Oct_Dim1+9,""),IF(AND(YEAR(Oct_Dim1+16)=Année_Calendaire,MONTH(Oct_Dim1+16)=10),Oct_Dim1+16,""))</f>
        <v>42654</v>
      </c>
      <c r="W168" s="67">
        <f>IF(DAY(Oct_Dim1)=1,IF(AND(YEAR(Oct_Dim1+10)=Année_Calendaire,MONTH(Oct_Dim1+10)=10),Oct_Dim1+10,""),IF(AND(YEAR(Oct_Dim1+17)=Année_Calendaire,MONTH(Oct_Dim1+17)=10),Oct_Dim1+17,""))</f>
        <v>42655</v>
      </c>
      <c r="X168" s="67">
        <f>IF(DAY(Oct_Dim1)=1,IF(AND(YEAR(Oct_Dim1+11)=Année_Calendaire,MONTH(Oct_Dim1+11)=10),Oct_Dim1+11,""),IF(AND(YEAR(Oct_Dim1+18)=Année_Calendaire,MONTH(Oct_Dim1+18)=10),Oct_Dim1+18,""))</f>
        <v>42656</v>
      </c>
      <c r="Y168" s="67">
        <f>IF(DAY(Oct_Dim1)=1,IF(AND(YEAR(Oct_Dim1+12)=Année_Calendaire,MONTH(Oct_Dim1+12)=10),Oct_Dim1+12,""),IF(AND(YEAR(Oct_Dim1+19)=Année_Calendaire,MONTH(Oct_Dim1+19)=10),Oct_Dim1+19,""))</f>
        <v>42657</v>
      </c>
      <c r="Z168" s="67">
        <f>IF(DAY(Oct_Dim1)=1,IF(AND(YEAR(Oct_Dim1+13)=Année_Calendaire,MONTH(Oct_Dim1+13)=10),Oct_Dim1+13,""),IF(AND(YEAR(Oct_Dim1+20)=Année_Calendaire,MONTH(Oct_Dim1+20)=10),Oct_Dim1+20,""))</f>
        <v>42658</v>
      </c>
      <c r="AA168" s="67">
        <f>IF(DAY(Oct_Dim1)=1,IF(AND(YEAR(Oct_Dim1+14)=Année_Calendaire,MONTH(Oct_Dim1+14)=10),Oct_Dim1+14,""),IF(AND(YEAR(Oct_Dim1+21)=Année_Calendaire,MONTH(Oct_Dim1+21)=10),Oct_Dim1+21,""))</f>
        <v>42659</v>
      </c>
      <c r="AB168" s="96"/>
      <c r="AC168" s="78"/>
      <c r="AD168" s="67">
        <f>IF(DAY(Oct_Dim1)=1,IF(AND(YEAR(Oct_Dim1+15)=Année_Calendaire,MONTH(Oct_Dim1+15)=10),Oct_Dim1+15,""),IF(AND(YEAR(Oct_Dim1+22)=Année_Calendaire,MONTH(Oct_Dim1+22)=10),Oct_Dim1+22,""))</f>
        <v>42660</v>
      </c>
      <c r="AE168" s="67">
        <f>IF(DAY(Oct_Dim1)=1,IF(AND(YEAR(Oct_Dim1+16)=Année_Calendaire,MONTH(Oct_Dim1+16)=10),Oct_Dim1+16,""),IF(AND(YEAR(Oct_Dim1+23)=Année_Calendaire,MONTH(Oct_Dim1+23)=10),Oct_Dim1+23,""))</f>
        <v>42661</v>
      </c>
      <c r="AF168" s="67">
        <f>IF(DAY(Oct_Dim1)=1,IF(AND(YEAR(Oct_Dim1+17)=Année_Calendaire,MONTH(Oct_Dim1+17)=10),Oct_Dim1+17,""),IF(AND(YEAR(Oct_Dim1+24)=Année_Calendaire,MONTH(Oct_Dim1+24)=10),Oct_Dim1+24,""))</f>
        <v>42662</v>
      </c>
      <c r="AG168" s="67">
        <f>IF(DAY(Oct_Dim1)=1,IF(AND(YEAR(Oct_Dim1+18)=Année_Calendaire,MONTH(Oct_Dim1+18)=10),Oct_Dim1+18,""),IF(AND(YEAR(Oct_Dim1+25)=Année_Calendaire,MONTH(Oct_Dim1+25)=10),Oct_Dim1+25,""))</f>
        <v>42663</v>
      </c>
      <c r="AH168" s="67">
        <f>IF(DAY(Oct_Dim1)=1,IF(AND(YEAR(Oct_Dim1+19)=Année_Calendaire,MONTH(Oct_Dim1+19)=10),Oct_Dim1+19,""),IF(AND(YEAR(Oct_Dim1+26)=Année_Calendaire,MONTH(Oct_Dim1+26)=10),Oct_Dim1+26,""))</f>
        <v>42664</v>
      </c>
      <c r="AI168" s="67">
        <f>IF(DAY(Oct_Dim1)=1,IF(AND(YEAR(Oct_Dim1+20)=Année_Calendaire,MONTH(Oct_Dim1+20)=10),Oct_Dim1+20,""),IF(AND(YEAR(Oct_Dim1+27)=Année_Calendaire,MONTH(Oct_Dim1+27)=10),Oct_Dim1+27,""))</f>
        <v>42665</v>
      </c>
      <c r="AJ168" s="67">
        <f>IF(DAY(Oct_Dim1)=1,IF(AND(YEAR(Oct_Dim1+21)=Année_Calendaire,MONTH(Oct_Dim1+21)=10),Oct_Dim1+21,""),IF(AND(YEAR(Oct_Dim1+28)=Année_Calendaire,MONTH(Oct_Dim1+28)=10),Oct_Dim1+28,""))</f>
        <v>42666</v>
      </c>
      <c r="AK168" s="96"/>
      <c r="AL168" s="78"/>
      <c r="AM168" s="67">
        <f>IF(DAY(Oct_Dim1)=1,IF(AND(YEAR(Oct_Dim1+22)=Année_Calendaire,MONTH(Oct_Dim1+22)=10),Oct_Dim1+22,""),IF(AND(YEAR(Oct_Dim1+29)=Année_Calendaire,MONTH(Oct_Dim1+29)=10),Oct_Dim1+29,""))</f>
        <v>42667</v>
      </c>
      <c r="AN168" s="67">
        <f>IF(DAY(Oct_Dim1)=1,IF(AND(YEAR(Oct_Dim1+23)=Année_Calendaire,MONTH(Oct_Dim1+23)=10),Oct_Dim1+23,""),IF(AND(YEAR(Oct_Dim1+30)=Année_Calendaire,MONTH(Oct_Dim1+30)=10),Oct_Dim1+30,""))</f>
        <v>42668</v>
      </c>
      <c r="AO168" s="67">
        <f>IF(DAY(Oct_Dim1)=1,IF(AND(YEAR(Oct_Dim1+24)=Année_Calendaire,MONTH(Oct_Dim1+24)=10),Oct_Dim1+24,""),IF(AND(YEAR(Oct_Dim1+31)=Année_Calendaire,MONTH(Oct_Dim1+31)=10),Oct_Dim1+31,""))</f>
        <v>42669</v>
      </c>
      <c r="AP168" s="67">
        <f>IF(DAY(Oct_Dim1)=1,IF(AND(YEAR(Oct_Dim1+25)=Année_Calendaire,MONTH(Oct_Dim1+25)=10),Oct_Dim1+25,""),IF(AND(YEAR(Oct_Dim1+32)=Année_Calendaire,MONTH(Oct_Dim1+32)=10),Oct_Dim1+32,""))</f>
        <v>42670</v>
      </c>
      <c r="AQ168" s="67">
        <f>IF(DAY(Oct_Dim1)=1,IF(AND(YEAR(Oct_Dim1+26)=Année_Calendaire,MONTH(Oct_Dim1+26)=10),Oct_Dim1+26,""),IF(AND(YEAR(Oct_Dim1+33)=Année_Calendaire,MONTH(Oct_Dim1+33)=10),Oct_Dim1+33,""))</f>
        <v>42671</v>
      </c>
      <c r="AR168" s="67">
        <f>IF(DAY(Oct_Dim1)=1,IF(AND(YEAR(Oct_Dim1+27)=Année_Calendaire,MONTH(Oct_Dim1+27)=10),Oct_Dim1+27,""),IF(AND(YEAR(Oct_Dim1+34)=Année_Calendaire,MONTH(Oct_Dim1+34)=10),Oct_Dim1+34,""))</f>
        <v>42672</v>
      </c>
      <c r="AS168" s="67">
        <f>IF(DAY(Oct_Dim1)=1,IF(AND(YEAR(Oct_Dim1+28)=Année_Calendaire,MONTH(Oct_Dim1+28)=10),Oct_Dim1+28,""),IF(AND(YEAR(Oct_Dim1+35)=Année_Calendaire,MONTH(Oct_Dim1+35)=10),Oct_Dim1+35,""))</f>
        <v>42673</v>
      </c>
      <c r="AT168" s="96"/>
      <c r="AU168" s="78"/>
      <c r="AV168" s="61">
        <f>IF(DAY(Oct_Dim1)=1,IF(AND(YEAR(Oct_Dim1+29)=Année_Calendaire,MONTH(Oct_Dim1+29)=10),Oct_Dim1+29,""),IF(AND(YEAR(Oct_Dim1+36)=Année_Calendaire,MONTH(Oct_Dim1+36)=10),Oct_Dim1+36,""))</f>
        <v>42674</v>
      </c>
      <c r="AW168" s="61" t="str">
        <f>IF(DAY(Oct_Dim1)=1,IF(AND(YEAR(Oct_Dim1+30)=Année_Calendaire,MONTH(Oct_Dim1+30)=10),Oct_Dim1+30,""),IF(AND(YEAR(Oct_Dim1+37)=Année_Calendaire,MONTH(Oct_Dim1+37)=10),Oct_Dim1+37,""))</f>
        <v/>
      </c>
      <c r="AX168" s="96"/>
      <c r="AY168" s="96"/>
      <c r="AZ168" s="97"/>
      <c r="BA168" s="97"/>
    </row>
    <row r="169" spans="1:58" ht="15" customHeight="1" x14ac:dyDescent="0.25">
      <c r="A169" s="21" t="s">
        <v>2</v>
      </c>
      <c r="B169" s="81"/>
      <c r="C169" s="60">
        <f>IFERROR(VLOOKUP(B167,DATA!$A:$H,2,TRUE),0)</f>
        <v>0</v>
      </c>
      <c r="D169" s="60">
        <f>IFERROR(VLOOKUP(B167,DATA!$A:$H,3,TRUE),0)</f>
        <v>0</v>
      </c>
      <c r="E169" s="60">
        <f>IFERROR(VLOOKUP(B167,DATA!$A:$H,4,TRUE),0)</f>
        <v>0</v>
      </c>
      <c r="F169" s="60">
        <f>IFERROR(VLOOKUP(B167,DATA!$A:$H,5,TRUE),0)</f>
        <v>0</v>
      </c>
      <c r="G169" s="60">
        <f>IFERROR(VLOOKUP(B167,DATA!$A:$H,6,TRUE),0)</f>
        <v>0</v>
      </c>
      <c r="H169" s="60">
        <f>IFERROR(VLOOKUP(B167,DATA!$A:$H,7,TRUE),0)</f>
        <v>0</v>
      </c>
      <c r="I169" s="60">
        <f>IFERROR(VLOOKUP(B167,DATA!$A:$H,8,TRUE),0)</f>
        <v>0</v>
      </c>
      <c r="J169" s="60"/>
      <c r="K169" s="60"/>
      <c r="L169" s="60">
        <f>IFERROR(VLOOKUP(K167,DATA!$A:$H,2,TRUE),0)</f>
        <v>0</v>
      </c>
      <c r="M169" s="60">
        <f>IFERROR(VLOOKUP(K167,DATA!$A:$H,3,TRUE),0)</f>
        <v>0</v>
      </c>
      <c r="N169" s="60">
        <f>IFERROR(VLOOKUP(K167,DATA!$A:$H,4,TRUE),0)</f>
        <v>0</v>
      </c>
      <c r="O169" s="60">
        <f>IFERROR(VLOOKUP(K167,DATA!$A:$H,5,TRUE),0)</f>
        <v>0</v>
      </c>
      <c r="P169" s="60">
        <f>IFERROR(VLOOKUP(K167,DATA!$A:$H,6,TRUE),0)</f>
        <v>0</v>
      </c>
      <c r="Q169" s="60">
        <f>IFERROR(VLOOKUP(K167,DATA!$A:$H,7,TRUE),0)</f>
        <v>0</v>
      </c>
      <c r="R169" s="60">
        <f>IFERROR(VLOOKUP(K167,DATA!$A:$H,8,TRUE),0)</f>
        <v>0</v>
      </c>
      <c r="S169" s="60"/>
      <c r="T169" s="60"/>
      <c r="U169" s="60">
        <f>IFERROR(VLOOKUP(T167,DATA!$A:$H,2,TRUE),0)</f>
        <v>0</v>
      </c>
      <c r="V169" s="60">
        <f>IFERROR(VLOOKUP(T167,DATA!$A:$H,3,TRUE),0)</f>
        <v>0</v>
      </c>
      <c r="W169" s="60">
        <f>IFERROR(VLOOKUP(T167,DATA!$A:$H,4,TRUE),0)</f>
        <v>0</v>
      </c>
      <c r="X169" s="60">
        <f>IFERROR(VLOOKUP(T167,DATA!$A:$H,5,TRUE),0)</f>
        <v>0</v>
      </c>
      <c r="Y169" s="60">
        <f>IFERROR(VLOOKUP(T167,DATA!$A:$H,6,TRUE),0)</f>
        <v>0</v>
      </c>
      <c r="Z169" s="60">
        <f>IFERROR(VLOOKUP(T167,DATA!$A:$H,7,TRUE),0)</f>
        <v>0</v>
      </c>
      <c r="AA169" s="60">
        <f>IFERROR(VLOOKUP(T167,DATA!$A:$H,8,TRUE),0)</f>
        <v>0</v>
      </c>
      <c r="AB169" s="60"/>
      <c r="AC169" s="60"/>
      <c r="AD169" s="60">
        <f>IFERROR(VLOOKUP(AC167,DATA!$A:$H,2,TRUE),0)</f>
        <v>0</v>
      </c>
      <c r="AE169" s="60">
        <f>IFERROR(VLOOKUP(AC167,DATA!$A:$H,3,TRUE),0)</f>
        <v>0</v>
      </c>
      <c r="AF169" s="60">
        <f>IFERROR(VLOOKUP(AC167,DATA!$A:$H,4,TRUE),0)</f>
        <v>0</v>
      </c>
      <c r="AG169" s="60">
        <f>IFERROR(VLOOKUP(AC167,DATA!$A:$H,5,TRUE),0)</f>
        <v>0</v>
      </c>
      <c r="AH169" s="60">
        <f>IFERROR(VLOOKUP(AC167,DATA!$A:$H,6,TRUE),0)</f>
        <v>0</v>
      </c>
      <c r="AI169" s="60">
        <f>IFERROR(VLOOKUP(AC167,DATA!$A:$H,7,TRUE),0)</f>
        <v>0</v>
      </c>
      <c r="AJ169" s="60">
        <f>IFERROR(VLOOKUP(AC167,DATA!$A:$H,8,TRUE),0)</f>
        <v>0</v>
      </c>
      <c r="AK169" s="60"/>
      <c r="AL169" s="60"/>
      <c r="AM169" s="60">
        <f>IFERROR(VLOOKUP(AL167,DATA!$A:$H,2,TRUE),0)</f>
        <v>0</v>
      </c>
      <c r="AN169" s="60">
        <f>IFERROR(VLOOKUP(AL167,DATA!$A:$H,3,TRUE),0)</f>
        <v>0</v>
      </c>
      <c r="AO169" s="60">
        <f>IFERROR(VLOOKUP(AL167,DATA!$A:$H,4,TRUE),0)</f>
        <v>0</v>
      </c>
      <c r="AP169" s="60">
        <f>IFERROR(VLOOKUP(AL167,DATA!$A:$H,5,TRUE),0)</f>
        <v>0</v>
      </c>
      <c r="AQ169" s="60">
        <f>IFERROR(VLOOKUP(AL167,DATA!$A:$H,6,TRUE),0)</f>
        <v>0</v>
      </c>
      <c r="AR169" s="60">
        <f>IFERROR(VLOOKUP(AL167,DATA!$A:$H,7,TRUE),0)</f>
        <v>0</v>
      </c>
      <c r="AS169" s="60">
        <f>IFERROR(VLOOKUP(AL167,DATA!$A:$H,8,TRUE),0)</f>
        <v>0</v>
      </c>
      <c r="AT169" s="60"/>
      <c r="AU169" s="60"/>
      <c r="AV169" s="60" t="str">
        <f>IFERROR(VLOOKUP(AU167,DATA!$A:$H,2,TRUE),0)</f>
        <v>matin</v>
      </c>
      <c r="AW169" s="60">
        <f>IFERROR(VLOOKUP(AU167,DATA!$A:$H,3,TRUE),0)</f>
        <v>0</v>
      </c>
      <c r="AX169" s="60"/>
      <c r="AY169" s="63"/>
    </row>
    <row r="170" spans="1:58" ht="15" customHeight="1" x14ac:dyDescent="0.25">
      <c r="A170" s="21" t="s">
        <v>12</v>
      </c>
      <c r="B170" s="81"/>
      <c r="C170" s="60">
        <f t="shared" ref="C170:I170" si="376">IF(C169="Matin",1,IF(C169="AM",1,0))</f>
        <v>0</v>
      </c>
      <c r="D170" s="60">
        <f t="shared" si="376"/>
        <v>0</v>
      </c>
      <c r="E170" s="60">
        <f t="shared" si="376"/>
        <v>0</v>
      </c>
      <c r="F170" s="60">
        <f t="shared" si="376"/>
        <v>0</v>
      </c>
      <c r="G170" s="60">
        <f t="shared" si="376"/>
        <v>0</v>
      </c>
      <c r="H170" s="60">
        <f t="shared" si="376"/>
        <v>0</v>
      </c>
      <c r="I170" s="60">
        <f t="shared" si="376"/>
        <v>0</v>
      </c>
      <c r="J170" s="60">
        <f>SUM(C170:I170)</f>
        <v>0</v>
      </c>
      <c r="K170" s="60"/>
      <c r="L170" s="60">
        <f t="shared" ref="L170:R170" si="377">IF(L169="Matin",1,IF(L169="AM",1,0))</f>
        <v>0</v>
      </c>
      <c r="M170" s="60">
        <f t="shared" si="377"/>
        <v>0</v>
      </c>
      <c r="N170" s="60">
        <f t="shared" si="377"/>
        <v>0</v>
      </c>
      <c r="O170" s="60">
        <f t="shared" si="377"/>
        <v>0</v>
      </c>
      <c r="P170" s="60">
        <f t="shared" si="377"/>
        <v>0</v>
      </c>
      <c r="Q170" s="60">
        <f t="shared" si="377"/>
        <v>0</v>
      </c>
      <c r="R170" s="60">
        <f t="shared" si="377"/>
        <v>0</v>
      </c>
      <c r="S170" s="60">
        <f>SUM(L170:R170)</f>
        <v>0</v>
      </c>
      <c r="T170" s="60"/>
      <c r="U170" s="60">
        <f t="shared" ref="U170:AA170" si="378">IF(U169="Matin",1,IF(U169="AM",1,0))</f>
        <v>0</v>
      </c>
      <c r="V170" s="60">
        <f t="shared" si="378"/>
        <v>0</v>
      </c>
      <c r="W170" s="60">
        <f t="shared" si="378"/>
        <v>0</v>
      </c>
      <c r="X170" s="60">
        <f t="shared" si="378"/>
        <v>0</v>
      </c>
      <c r="Y170" s="60">
        <f t="shared" si="378"/>
        <v>0</v>
      </c>
      <c r="Z170" s="60">
        <f t="shared" si="378"/>
        <v>0</v>
      </c>
      <c r="AA170" s="60">
        <f t="shared" si="378"/>
        <v>0</v>
      </c>
      <c r="AB170" s="60">
        <f>SUM(U170:AA170)</f>
        <v>0</v>
      </c>
      <c r="AC170" s="60"/>
      <c r="AD170" s="60">
        <f t="shared" ref="AD170:AJ170" si="379">IF(AD169="Matin",1,IF(AD169="AM",1,0))</f>
        <v>0</v>
      </c>
      <c r="AE170" s="60">
        <f t="shared" si="379"/>
        <v>0</v>
      </c>
      <c r="AF170" s="60">
        <f t="shared" si="379"/>
        <v>0</v>
      </c>
      <c r="AG170" s="60">
        <f t="shared" si="379"/>
        <v>0</v>
      </c>
      <c r="AH170" s="60">
        <f t="shared" si="379"/>
        <v>0</v>
      </c>
      <c r="AI170" s="60">
        <f t="shared" si="379"/>
        <v>0</v>
      </c>
      <c r="AJ170" s="60">
        <f t="shared" si="379"/>
        <v>0</v>
      </c>
      <c r="AK170" s="60">
        <f>SUM(AD170:AJ170)</f>
        <v>0</v>
      </c>
      <c r="AL170" s="60"/>
      <c r="AM170" s="60">
        <f t="shared" ref="AM170:AS170" si="380">IF(AM169="Matin",1,IF(AM169="AM",1,0))</f>
        <v>0</v>
      </c>
      <c r="AN170" s="60">
        <f t="shared" si="380"/>
        <v>0</v>
      </c>
      <c r="AO170" s="60">
        <f t="shared" si="380"/>
        <v>0</v>
      </c>
      <c r="AP170" s="60">
        <f t="shared" si="380"/>
        <v>0</v>
      </c>
      <c r="AQ170" s="60">
        <f t="shared" si="380"/>
        <v>0</v>
      </c>
      <c r="AR170" s="60">
        <f t="shared" si="380"/>
        <v>0</v>
      </c>
      <c r="AS170" s="60">
        <f t="shared" si="380"/>
        <v>0</v>
      </c>
      <c r="AT170" s="60">
        <f>SUM(AM170:AS170)</f>
        <v>0</v>
      </c>
      <c r="AU170" s="60"/>
      <c r="AV170" s="60">
        <f t="shared" ref="AV170:AW170" si="381">IF(AV169="Matin",1,IF(AV169="AM",1,0))</f>
        <v>1</v>
      </c>
      <c r="AW170" s="60">
        <f t="shared" si="381"/>
        <v>0</v>
      </c>
      <c r="AX170" s="60">
        <f t="shared" ref="AX170:AX177" si="382">SUM(AV170:AW170)</f>
        <v>1</v>
      </c>
      <c r="AY170" s="60">
        <f>J170+S170+AB170+AK170+AT170+AX170</f>
        <v>1</v>
      </c>
    </row>
    <row r="171" spans="1:58" ht="15" customHeight="1" x14ac:dyDescent="0.25">
      <c r="A171" s="21" t="s">
        <v>4</v>
      </c>
      <c r="B171" s="81"/>
      <c r="C171" s="60">
        <f>IF(C172&gt;=1,1,0)</f>
        <v>0</v>
      </c>
      <c r="D171" s="60">
        <f>IF(D172&gt;=1,1,0)</f>
        <v>0</v>
      </c>
      <c r="E171" s="60">
        <f t="shared" ref="E171:I171" si="383">IF(E172&gt;=1,1,0)</f>
        <v>0</v>
      </c>
      <c r="F171" s="60">
        <f t="shared" si="383"/>
        <v>0</v>
      </c>
      <c r="G171" s="60">
        <f t="shared" si="383"/>
        <v>0</v>
      </c>
      <c r="H171" s="60">
        <f t="shared" si="383"/>
        <v>0</v>
      </c>
      <c r="I171" s="60">
        <f t="shared" si="383"/>
        <v>0</v>
      </c>
      <c r="J171" s="60">
        <f t="shared" ref="J171:J181" si="384">SUM(C171:I171)</f>
        <v>0</v>
      </c>
      <c r="K171" s="60"/>
      <c r="L171" s="60">
        <f>IF(L172&gt;=1,1,0)</f>
        <v>0</v>
      </c>
      <c r="M171" s="60">
        <f t="shared" ref="M171:R171" si="385">IF(M172&gt;=1,1,0)</f>
        <v>0</v>
      </c>
      <c r="N171" s="60">
        <f t="shared" si="385"/>
        <v>0</v>
      </c>
      <c r="O171" s="60">
        <f t="shared" si="385"/>
        <v>0</v>
      </c>
      <c r="P171" s="60">
        <f t="shared" si="385"/>
        <v>0</v>
      </c>
      <c r="Q171" s="60">
        <f t="shared" si="385"/>
        <v>0</v>
      </c>
      <c r="R171" s="60">
        <f t="shared" si="385"/>
        <v>0</v>
      </c>
      <c r="S171" s="60">
        <f t="shared" ref="S171:S181" si="386">SUM(L171:R171)</f>
        <v>0</v>
      </c>
      <c r="T171" s="60"/>
      <c r="U171" s="60">
        <f>IF(U172&gt;=1,1,0)</f>
        <v>0</v>
      </c>
      <c r="V171" s="60">
        <f t="shared" ref="V171:AA171" si="387">IF(V172&gt;=1,1,0)</f>
        <v>0</v>
      </c>
      <c r="W171" s="60">
        <f t="shared" si="387"/>
        <v>0</v>
      </c>
      <c r="X171" s="60">
        <f t="shared" si="387"/>
        <v>0</v>
      </c>
      <c r="Y171" s="60">
        <f t="shared" si="387"/>
        <v>0</v>
      </c>
      <c r="Z171" s="60">
        <f t="shared" si="387"/>
        <v>0</v>
      </c>
      <c r="AA171" s="60">
        <f t="shared" si="387"/>
        <v>0</v>
      </c>
      <c r="AB171" s="60">
        <f t="shared" ref="AB171:AB181" si="388">SUM(U171:AA171)</f>
        <v>0</v>
      </c>
      <c r="AC171" s="60"/>
      <c r="AD171" s="60">
        <f>IF(AD172&gt;=1,1,0)</f>
        <v>0</v>
      </c>
      <c r="AE171" s="60">
        <f t="shared" ref="AE171:AJ171" si="389">IF(AE172&gt;=1,1,0)</f>
        <v>0</v>
      </c>
      <c r="AF171" s="60">
        <f t="shared" si="389"/>
        <v>0</v>
      </c>
      <c r="AG171" s="60">
        <f t="shared" si="389"/>
        <v>0</v>
      </c>
      <c r="AH171" s="60">
        <f t="shared" si="389"/>
        <v>0</v>
      </c>
      <c r="AI171" s="60">
        <f t="shared" si="389"/>
        <v>0</v>
      </c>
      <c r="AJ171" s="60">
        <f t="shared" si="389"/>
        <v>0</v>
      </c>
      <c r="AK171" s="60">
        <f t="shared" ref="AK171:AK181" si="390">SUM(AD171:AJ171)</f>
        <v>0</v>
      </c>
      <c r="AL171" s="60"/>
      <c r="AM171" s="60">
        <f>IF(AM172&gt;=1,1,0)</f>
        <v>0</v>
      </c>
      <c r="AN171" s="60">
        <f t="shared" ref="AN171:AS171" si="391">IF(AN172&gt;=1,1,0)</f>
        <v>0</v>
      </c>
      <c r="AO171" s="60">
        <f t="shared" si="391"/>
        <v>0</v>
      </c>
      <c r="AP171" s="60">
        <f t="shared" si="391"/>
        <v>0</v>
      </c>
      <c r="AQ171" s="60">
        <f t="shared" si="391"/>
        <v>0</v>
      </c>
      <c r="AR171" s="60">
        <f t="shared" si="391"/>
        <v>0</v>
      </c>
      <c r="AS171" s="60">
        <f t="shared" si="391"/>
        <v>0</v>
      </c>
      <c r="AT171" s="60">
        <f t="shared" ref="AT171:AT181" si="392">SUM(AM171:AS171)</f>
        <v>0</v>
      </c>
      <c r="AU171" s="60"/>
      <c r="AV171" s="60">
        <f>IF(AV172&gt;=1,1,0)</f>
        <v>1</v>
      </c>
      <c r="AW171" s="60">
        <f t="shared" ref="AW171" si="393">IF(AW172&gt;=1,1,0)</f>
        <v>0</v>
      </c>
      <c r="AX171" s="60">
        <f t="shared" si="382"/>
        <v>1</v>
      </c>
      <c r="AY171" s="60">
        <f t="shared" ref="AY171:AY180" si="394">J171+S171+AB171+AK171+AT171+AX171</f>
        <v>1</v>
      </c>
    </row>
    <row r="172" spans="1:58" ht="15" customHeight="1" x14ac:dyDescent="0.25">
      <c r="A172" s="21" t="s">
        <v>3</v>
      </c>
      <c r="B172" s="81"/>
      <c r="C172" s="60">
        <f>IF(C169="Matin",8,IF(C169="AM",8,IF(C169="nuit",8,0)))</f>
        <v>0</v>
      </c>
      <c r="D172" s="60">
        <f t="shared" ref="D172:I172" si="395">IF(D169="Matin",8,IF(D169="AM",8,IF(D169="nuit",8,0)))</f>
        <v>0</v>
      </c>
      <c r="E172" s="60">
        <f t="shared" si="395"/>
        <v>0</v>
      </c>
      <c r="F172" s="60">
        <f t="shared" si="395"/>
        <v>0</v>
      </c>
      <c r="G172" s="60">
        <f t="shared" si="395"/>
        <v>0</v>
      </c>
      <c r="H172" s="60">
        <f t="shared" si="395"/>
        <v>0</v>
      </c>
      <c r="I172" s="60">
        <f t="shared" si="395"/>
        <v>0</v>
      </c>
      <c r="J172" s="60">
        <f t="shared" si="384"/>
        <v>0</v>
      </c>
      <c r="K172" s="60"/>
      <c r="L172" s="60">
        <f>IF(L169="Matin",8,IF(L169="AM",8,IF(L169="nuit",8,0)))</f>
        <v>0</v>
      </c>
      <c r="M172" s="60">
        <f t="shared" ref="M172:R172" si="396">IF(M169="Matin",8,IF(M169="AM",8,IF(M169="nuit",8,0)))</f>
        <v>0</v>
      </c>
      <c r="N172" s="60">
        <f t="shared" si="396"/>
        <v>0</v>
      </c>
      <c r="O172" s="60">
        <f t="shared" si="396"/>
        <v>0</v>
      </c>
      <c r="P172" s="60">
        <f t="shared" si="396"/>
        <v>0</v>
      </c>
      <c r="Q172" s="60">
        <f t="shared" si="396"/>
        <v>0</v>
      </c>
      <c r="R172" s="60">
        <f t="shared" si="396"/>
        <v>0</v>
      </c>
      <c r="S172" s="60">
        <f t="shared" si="386"/>
        <v>0</v>
      </c>
      <c r="T172" s="60"/>
      <c r="U172" s="60">
        <f>IF(U169="Matin",8,IF(U169="AM",8,IF(U169="nuit",8,0)))</f>
        <v>0</v>
      </c>
      <c r="V172" s="60">
        <f t="shared" ref="V172:AA172" si="397">IF(V169="Matin",8,IF(V169="AM",8,IF(V169="nuit",8,0)))</f>
        <v>0</v>
      </c>
      <c r="W172" s="60">
        <f t="shared" si="397"/>
        <v>0</v>
      </c>
      <c r="X172" s="60">
        <f t="shared" si="397"/>
        <v>0</v>
      </c>
      <c r="Y172" s="60">
        <f t="shared" si="397"/>
        <v>0</v>
      </c>
      <c r="Z172" s="60">
        <f t="shared" si="397"/>
        <v>0</v>
      </c>
      <c r="AA172" s="60">
        <f t="shared" si="397"/>
        <v>0</v>
      </c>
      <c r="AB172" s="60">
        <f t="shared" si="388"/>
        <v>0</v>
      </c>
      <c r="AC172" s="60"/>
      <c r="AD172" s="60">
        <f>IF(AD169="Matin",8,IF(AD169="AM",8,IF(AD169="nuit",8,0)))</f>
        <v>0</v>
      </c>
      <c r="AE172" s="60">
        <f t="shared" ref="AE172:AJ172" si="398">IF(AE169="Matin",8,IF(AE169="AM",8,IF(AE169="nuit",8,0)))</f>
        <v>0</v>
      </c>
      <c r="AF172" s="60">
        <f t="shared" si="398"/>
        <v>0</v>
      </c>
      <c r="AG172" s="60">
        <f t="shared" si="398"/>
        <v>0</v>
      </c>
      <c r="AH172" s="60">
        <f t="shared" si="398"/>
        <v>0</v>
      </c>
      <c r="AI172" s="60">
        <f t="shared" si="398"/>
        <v>0</v>
      </c>
      <c r="AJ172" s="60">
        <f t="shared" si="398"/>
        <v>0</v>
      </c>
      <c r="AK172" s="60">
        <f t="shared" si="390"/>
        <v>0</v>
      </c>
      <c r="AL172" s="60"/>
      <c r="AM172" s="60">
        <f>IF(AM169="Matin",8,IF(AM169="AM",8,IF(AM169="nuit",8,0)))</f>
        <v>0</v>
      </c>
      <c r="AN172" s="60">
        <f t="shared" ref="AN172:AS172" si="399">IF(AN169="Matin",8,IF(AN169="AM",8,IF(AN169="nuit",8,0)))</f>
        <v>0</v>
      </c>
      <c r="AO172" s="60">
        <f t="shared" si="399"/>
        <v>0</v>
      </c>
      <c r="AP172" s="60">
        <f t="shared" si="399"/>
        <v>0</v>
      </c>
      <c r="AQ172" s="60">
        <f t="shared" si="399"/>
        <v>0</v>
      </c>
      <c r="AR172" s="60">
        <f t="shared" si="399"/>
        <v>0</v>
      </c>
      <c r="AS172" s="60">
        <f t="shared" si="399"/>
        <v>0</v>
      </c>
      <c r="AT172" s="60">
        <f t="shared" si="392"/>
        <v>0</v>
      </c>
      <c r="AU172" s="60"/>
      <c r="AV172" s="60">
        <f>IF(AV169="Matin",8,IF(AV169="AM",8,IF(AV169="nuit",8,0)))</f>
        <v>8</v>
      </c>
      <c r="AW172" s="60">
        <f t="shared" ref="AW172" si="400">IF(AW169="Matin",8,IF(AW169="AM",8,IF(AW169="nuit",8,0)))</f>
        <v>0</v>
      </c>
      <c r="AX172" s="60">
        <f t="shared" si="382"/>
        <v>8</v>
      </c>
      <c r="AY172" s="60">
        <f t="shared" si="394"/>
        <v>8</v>
      </c>
    </row>
    <row r="173" spans="1:58" ht="15" customHeight="1" x14ac:dyDescent="0.25">
      <c r="A173" s="36" t="s">
        <v>20</v>
      </c>
      <c r="B173" s="82"/>
      <c r="C173" s="66">
        <f>IF(C167&lt;&gt;"Dim",IF(C172&gt;32,MIN(C172,35)-32,0),0)</f>
        <v>0</v>
      </c>
      <c r="D173" s="66">
        <f>IF(D167&lt;&gt;"Dim",IF(SUM($C172:D172)&gt;32,MIN(SUM($C172:D172),35)-32-SUM($C173:C173),0),0)</f>
        <v>0</v>
      </c>
      <c r="E173" s="66">
        <f>IF(E167&lt;&gt;"Dim",IF(SUM($C172:E172)&gt;32,MIN(SUM($C172:E172),35)-32-SUM($C173:D173),0),0)</f>
        <v>0</v>
      </c>
      <c r="F173" s="66">
        <f>IF(F167&lt;&gt;"Dim",IF(SUM($C172:F172)&gt;32,MIN(SUM($C172:F172),35)-32-SUM($C173:E173),0),0)</f>
        <v>0</v>
      </c>
      <c r="G173" s="66">
        <f>IF(G167&lt;&gt;"Dim",IF(SUM($C172:G172)&gt;32,MIN(SUM($C172:G172),35)-32-SUM($C173:F173),0),0)</f>
        <v>0</v>
      </c>
      <c r="H173" s="66">
        <f>IF(H167&lt;&gt;"Dim",IF(SUM($C172:H172)&gt;32,MIN(SUM($C172:H172),35)-32-SUM($C173:G173),0),0)</f>
        <v>0</v>
      </c>
      <c r="I173" s="66">
        <f>IF(I167&lt;&gt;"Dim",IF(SUM($C172:I172)&gt;32,MIN(SUM($C172:I172),35)-32-SUM($C173:H173),0),0)</f>
        <v>0</v>
      </c>
      <c r="J173" s="60">
        <f t="shared" si="384"/>
        <v>0</v>
      </c>
      <c r="K173" s="60"/>
      <c r="L173" s="66">
        <f>IF(L167&lt;&gt;"Dim",IF(L172&gt;32,MIN(L172,35)-32,0),0)</f>
        <v>0</v>
      </c>
      <c r="M173" s="66">
        <f>IF(M167&lt;&gt;"Dim",IF(SUM($L172:M172)&gt;32,MIN(SUM($L172:M172),35)-32-SUM($L173:L173),0),0)</f>
        <v>0</v>
      </c>
      <c r="N173" s="66">
        <f>IF(N167&lt;&gt;"Dim",IF(SUM($L172:N172)&gt;32,MIN(SUM($L172:N172),35)-32-SUM($L173:M173),0),0)</f>
        <v>0</v>
      </c>
      <c r="O173" s="66">
        <f>IF(O167&lt;&gt;"Dim",IF(SUM($L172:O172)&gt;32,MIN(SUM($L172:O172),35)-32-SUM($L173:N173),0),0)</f>
        <v>0</v>
      </c>
      <c r="P173" s="66">
        <f>IF(P167&lt;&gt;"Dim",IF(SUM($L172:P172)&gt;32,MIN(SUM($L172:P172),35)-32-SUM($L173:O173),0),0)</f>
        <v>0</v>
      </c>
      <c r="Q173" s="66">
        <f>IF(Q167&lt;&gt;"Dim",IF(SUM($L172:Q172)&gt;32,MIN(SUM($L172:Q172),35)-32-SUM($L173:P173),0),0)</f>
        <v>0</v>
      </c>
      <c r="R173" s="66">
        <f>IF(R167&lt;&gt;"Dim",IF(SUM($L172:R172)&gt;32,MIN(SUM($L172:R172),35)-32-SUM($L173:Q173),0),0)</f>
        <v>0</v>
      </c>
      <c r="S173" s="60">
        <f t="shared" si="386"/>
        <v>0</v>
      </c>
      <c r="T173" s="60"/>
      <c r="U173" s="66">
        <f>IF(U167&lt;&gt;"Dim",IF(U172&gt;32,MIN(U172,35)-32,0),0)</f>
        <v>0</v>
      </c>
      <c r="V173" s="66">
        <f>IF(V167&lt;&gt;"Dim",IF(SUM($U172:V172)&gt;32,MIN(SUM($U172:V172),35)-32-SUM($U173:U173),0),0)</f>
        <v>0</v>
      </c>
      <c r="W173" s="66">
        <f>IF(W167&lt;&gt;"Dim",IF(SUM($U172:W172)&gt;32,MIN(SUM($U172:W172),35)-32-SUM($U173:V173),0),0)</f>
        <v>0</v>
      </c>
      <c r="X173" s="66">
        <f>IF(X167&lt;&gt;"Dim",IF(SUM($U172:X172)&gt;32,MIN(SUM($U172:X172),35)-32-SUM($U173:W173),0),0)</f>
        <v>0</v>
      </c>
      <c r="Y173" s="66">
        <f>IF(Y167&lt;&gt;"Dim",IF(SUM($U172:Y172)&gt;32,MIN(SUM($U172:Y172),35)-32-SUM($U173:X173),0),0)</f>
        <v>0</v>
      </c>
      <c r="Z173" s="66">
        <f>IF(Z167&lt;&gt;"Dim",IF(SUM($U172:Z172)&gt;32,MIN(SUM($U172:Z172),35)-32-SUM($U173:Y173),0),0)</f>
        <v>0</v>
      </c>
      <c r="AA173" s="66">
        <f>IF(AA167&lt;&gt;"Dim",IF(SUM($U172:AA172)&gt;32,MIN(SUM($U172:AA172),35)-32-SUM($U173:Z173),0),0)</f>
        <v>0</v>
      </c>
      <c r="AB173" s="60">
        <f t="shared" si="388"/>
        <v>0</v>
      </c>
      <c r="AC173" s="60"/>
      <c r="AD173" s="66">
        <f>IF(AD167&lt;&gt;"Dim",IF(AD172&gt;32,MIN(AD172,35)-32,0),0)</f>
        <v>0</v>
      </c>
      <c r="AE173" s="66">
        <f>IF(AE167&lt;&gt;"Dim",IF(SUM($AD172:AE172)&gt;32,MIN(SUM($AD172:AE172),35)-32-SUM($AD173:AD173),0),0)</f>
        <v>0</v>
      </c>
      <c r="AF173" s="66">
        <f>IF(AF167&lt;&gt;"Dim",IF(SUM($AD172:AF172)&gt;32,MIN(SUM($AD172:AF172),35)-32-SUM($AD173:AE173),0),0)</f>
        <v>0</v>
      </c>
      <c r="AG173" s="66">
        <f>IF(AG167&lt;&gt;"Dim",IF(SUM($AD172:AG172)&gt;32,MIN(SUM($AD172:AG172),35)-32-SUM($AD173:AF173),0),0)</f>
        <v>0</v>
      </c>
      <c r="AH173" s="66">
        <f>IF(AH167&lt;&gt;"Dim",IF(SUM($AD172:AH172)&gt;32,MIN(SUM($AD172:AH172),35)-32-SUM($AD173:AG173),0),0)</f>
        <v>0</v>
      </c>
      <c r="AI173" s="66">
        <f>IF(AI167&lt;&gt;"Dim",IF(SUM($AD172:AI172)&gt;32,MIN(SUM($AD172:AI172),35)-32-SUM($AD173:AH173),0),0)</f>
        <v>0</v>
      </c>
      <c r="AJ173" s="66">
        <f>IF(AJ167&lt;&gt;"Dim",IF(SUM($AD172:AJ172)&gt;32,MIN(SUM($AD172:AJ172),35)-32-SUM($AD173:AI173),0),0)</f>
        <v>0</v>
      </c>
      <c r="AK173" s="60">
        <f t="shared" si="390"/>
        <v>0</v>
      </c>
      <c r="AL173" s="60"/>
      <c r="AM173" s="66">
        <f>IF(AM167&lt;&gt;"Dim",IF(AM172&gt;32,MIN(AM172,35)-32,0),0)</f>
        <v>0</v>
      </c>
      <c r="AN173" s="66">
        <f>IF(AN167&lt;&gt;"Dim",IF(SUM($AM172:AN172)&gt;32,MIN(SUM($AM172:AN172),35)-32-SUM($AM173:AM173),0),0)</f>
        <v>0</v>
      </c>
      <c r="AO173" s="66">
        <f>IF(AO167&lt;&gt;"Dim",IF(SUM($AM172:AO172)&gt;32,MIN(SUM($AM172:AO172),35)-32-SUM($AM173:AN173),0),0)</f>
        <v>0</v>
      </c>
      <c r="AP173" s="66">
        <f>IF(AP167&lt;&gt;"Dim",IF(SUM($AM172:AP172)&gt;32,MIN(SUM($AM172:AP172),35)-32-SUM($AM173:AO173),0),0)</f>
        <v>0</v>
      </c>
      <c r="AQ173" s="66">
        <f>IF(AQ167&lt;&gt;"Dim",IF(SUM($AM172:AQ172)&gt;32,MIN(SUM($AM172:AQ172),35)-32-SUM($AM173:AP173),0),0)</f>
        <v>0</v>
      </c>
      <c r="AR173" s="66">
        <f>IF(AR167&lt;&gt;"Dim",IF(SUM($AM172:AR172)&gt;32,MIN(SUM($AM172:AR172),35)-32-SUM($AM173:AQ173),0),0)</f>
        <v>0</v>
      </c>
      <c r="AS173" s="66">
        <f>IF(AS167&lt;&gt;"Dim",IF(SUM($AM172:AS172)&gt;32,MIN(SUM($AM172:AS172),35)-32-SUM($AM173:AR173),0),0)</f>
        <v>0</v>
      </c>
      <c r="AT173" s="60">
        <f t="shared" si="392"/>
        <v>0</v>
      </c>
      <c r="AU173" s="60"/>
      <c r="AV173" s="66">
        <f>IF(AV167&lt;&gt;"Dim",IF(AV172&gt;32,MIN(AV172,35)-32,0),0)</f>
        <v>0</v>
      </c>
      <c r="AW173" s="66">
        <f>IF(AW167&lt;&gt;"Dim",IF(SUM($AV172:AW172)&gt;32,MIN(SUM($AV172:AW172),35)-32-SUM($AV173:AV173),0),0)</f>
        <v>0</v>
      </c>
      <c r="AX173" s="60">
        <f t="shared" si="382"/>
        <v>0</v>
      </c>
      <c r="AY173" s="60">
        <f t="shared" si="394"/>
        <v>0</v>
      </c>
    </row>
    <row r="174" spans="1:58" ht="15" customHeight="1" x14ac:dyDescent="0.25">
      <c r="A174" s="21" t="s">
        <v>6</v>
      </c>
      <c r="B174" s="81"/>
      <c r="C174" s="66">
        <f>IF(C167&lt;&gt;"Dim",IF(C172&gt;35,(MIN(C172,43)-35),0),0)</f>
        <v>0</v>
      </c>
      <c r="D174" s="66">
        <f>IF(D167&lt;&gt;"Dim",IF(SUM($C172:D172)&gt;35,(MIN(SUM($C172:D172),43)-35-SUM($C174:C174)),0),0)</f>
        <v>0</v>
      </c>
      <c r="E174" s="66">
        <f>IF(E167&lt;&gt;"Dim",IF(SUM($C172:E172)&gt;35,(MIN(SUM($C172:E172),43)-35-SUM($C174:D174)),0),0)</f>
        <v>0</v>
      </c>
      <c r="F174" s="66">
        <f>IF(F167&lt;&gt;"Dim",IF(SUM($C172:F172)&gt;35,(MIN(SUM($C172:F172),43)-35-SUM($C174:E174)),0),0)</f>
        <v>0</v>
      </c>
      <c r="G174" s="66">
        <f>IF(G167&lt;&gt;"Dim",IF(SUM($C172:G172)&gt;35,(MIN(SUM($C172:G172),43)-35-SUM($C174:F174)),0),0)</f>
        <v>0</v>
      </c>
      <c r="H174" s="66">
        <f>IF(H167&lt;&gt;"Dim",IF(SUM($C172:H172)&gt;35,(MIN(SUM($C172:H172),43)-35-SUM($C174:G174)),0),0)</f>
        <v>0</v>
      </c>
      <c r="I174" s="66">
        <f>IF(I167&lt;&gt;"Dim",IF(SUM($C172:I172)&gt;35,(MIN(SUM($C172:I172),43)-35-SUM($C174:H174)),0),0)</f>
        <v>0</v>
      </c>
      <c r="J174" s="60">
        <f t="shared" si="384"/>
        <v>0</v>
      </c>
      <c r="K174" s="60"/>
      <c r="L174" s="66">
        <f>IF(L167&lt;&gt;"Dim",IF(L172&gt;35,(MIN(L172,43)-35),0),0)</f>
        <v>0</v>
      </c>
      <c r="M174" s="66">
        <f>IF(M167&lt;&gt;"Dim",IF(SUM($L172:M172)&gt;35,(MIN(SUM($L172:M172),43)-35-SUM($L174:L174)),0),0)</f>
        <v>0</v>
      </c>
      <c r="N174" s="66">
        <f>IF(N167&lt;&gt;"Dim",IF(SUM($L172:N172)&gt;35,(MIN(SUM($L172:N172),43)-35-SUM($L174:M174)),0),0)</f>
        <v>0</v>
      </c>
      <c r="O174" s="66">
        <f>IF(O167&lt;&gt;"Dim",IF(SUM($L172:O172)&gt;35,(MIN(SUM($L172:O172),43)-35-SUM($L174:N174)),0),0)</f>
        <v>0</v>
      </c>
      <c r="P174" s="66">
        <f>IF(P167&lt;&gt;"Dim",IF(SUM($L172:P172)&gt;35,(MIN(SUM($L172:P172),43)-35-SUM($L174:O174)),0),0)</f>
        <v>0</v>
      </c>
      <c r="Q174" s="66">
        <f>IF(Q167&lt;&gt;"Dim",IF(SUM($L172:Q172)&gt;35,(MIN(SUM($L172:Q172),43)-35-SUM($L174:P174)),0),0)</f>
        <v>0</v>
      </c>
      <c r="R174" s="66">
        <f>IF(R167&lt;&gt;"Dim",IF(SUM($L172:R172)&gt;35,(MIN(SUM($L172:R172),43)-35-SUM($L174:Q174)),0),0)</f>
        <v>0</v>
      </c>
      <c r="S174" s="60">
        <f t="shared" si="386"/>
        <v>0</v>
      </c>
      <c r="T174" s="60"/>
      <c r="U174" s="66">
        <f>IF(U167&lt;&gt;"Dim",IF(U172&gt;35,(MIN(U172,43)-35),0),0)</f>
        <v>0</v>
      </c>
      <c r="V174" s="66">
        <f>IF(V167&lt;&gt;"Dim",IF(SUM($U172:V172)&gt;35,(MIN(SUM($U172:V172),43)-35-SUM($U174:U174)),0),0)</f>
        <v>0</v>
      </c>
      <c r="W174" s="66">
        <f>IF(W167&lt;&gt;"Dim",IF(SUM($U172:W172)&gt;35,(MIN(SUM($U172:W172),43)-35-SUM($U174:V174)),0),0)</f>
        <v>0</v>
      </c>
      <c r="X174" s="66">
        <f>IF(X167&lt;&gt;"Dim",IF(SUM($U172:X172)&gt;35,(MIN(SUM($U172:X172),43)-35-SUM($U174:W174)),0),0)</f>
        <v>0</v>
      </c>
      <c r="Y174" s="66">
        <f>IF(Y167&lt;&gt;"Dim",IF(SUM($U172:Y172)&gt;35,(MIN(SUM($U172:Y172),43)-35-SUM($U174:X174)),0),0)</f>
        <v>0</v>
      </c>
      <c r="Z174" s="66">
        <f>IF(Z167&lt;&gt;"Dim",IF(SUM($U172:Z172)&gt;35,(MIN(SUM($U172:Z172),43)-35-SUM($U174:Y174)),0),0)</f>
        <v>0</v>
      </c>
      <c r="AA174" s="66">
        <f>IF(AA167&lt;&gt;"Dim",IF(SUM($U172:AA172)&gt;35,(MIN(SUM($U172:AA172),43)-35-SUM($U174:Z174)),0),0)</f>
        <v>0</v>
      </c>
      <c r="AB174" s="60">
        <f t="shared" si="388"/>
        <v>0</v>
      </c>
      <c r="AC174" s="60"/>
      <c r="AD174" s="66">
        <f>IF(AD167&lt;&gt;"Dim",IF(AD172&gt;35,(MIN(AD172,43)-35),0),0)</f>
        <v>0</v>
      </c>
      <c r="AE174" s="66">
        <f>IF(AE167&lt;&gt;"Dim",IF(SUM($AD172:AE172)&gt;35,(MIN(SUM($AD172:AE172),43)-35-SUM($AD174:AD174)),0),0)</f>
        <v>0</v>
      </c>
      <c r="AF174" s="66">
        <f>IF(AF167&lt;&gt;"Dim",IF(SUM($AD172:AF172)&gt;35,(MIN(SUM($AD172:AF172),43)-35-SUM($AD174:AE174)),0),0)</f>
        <v>0</v>
      </c>
      <c r="AG174" s="66">
        <f>IF(AG167&lt;&gt;"Dim",IF(SUM($AD172:AG172)&gt;35,(MIN(SUM($AD172:AG172),43)-35-SUM($AD174:AF174)),0),0)</f>
        <v>0</v>
      </c>
      <c r="AH174" s="66">
        <f>IF(AH167&lt;&gt;"Dim",IF(SUM($AD172:AH172)&gt;35,(MIN(SUM($AD172:AH172),43)-35-SUM($AD174:AG174)),0),0)</f>
        <v>0</v>
      </c>
      <c r="AI174" s="66">
        <f>IF(AI167&lt;&gt;"Dim",IF(SUM($AD172:AI172)&gt;35,(MIN(SUM($AD172:AI172),43)-35-SUM($AD174:AH174)),0),0)</f>
        <v>0</v>
      </c>
      <c r="AJ174" s="66">
        <f>IF(AJ167&lt;&gt;"Dim",IF(SUM($AD172:AJ172)&gt;35,(MIN(SUM($AD172:AJ172),43)-35-SUM($AD174:AI174)),0),0)</f>
        <v>0</v>
      </c>
      <c r="AK174" s="60">
        <f t="shared" si="390"/>
        <v>0</v>
      </c>
      <c r="AL174" s="60"/>
      <c r="AM174" s="66">
        <f>IF(AM167&lt;&gt;"Dim",IF(AM172&gt;35,(MIN(AM172,43)-35),0),0)</f>
        <v>0</v>
      </c>
      <c r="AN174" s="66">
        <f>IF(AN167&lt;&gt;"Dim",IF(SUM($AM172:AN172)&gt;35,(MIN(SUM($AM172:AN172),43)-35-SUM($AM174:AM174)),0),0)</f>
        <v>0</v>
      </c>
      <c r="AO174" s="66">
        <f>IF(AO167&lt;&gt;"Dim",IF(SUM($AM172:AO172)&gt;35,(MIN(SUM($AM172:AO172),43)-35-SUM($AM174:AN174)),0),0)</f>
        <v>0</v>
      </c>
      <c r="AP174" s="66">
        <f>IF(AP167&lt;&gt;"Dim",IF(SUM($AM172:AP172)&gt;35,(MIN(SUM($AM172:AP172),43)-35-SUM($AM174:AO174)),0),0)</f>
        <v>0</v>
      </c>
      <c r="AQ174" s="66">
        <f>IF(AQ167&lt;&gt;"Dim",IF(SUM($AM172:AQ172)&gt;35,(MIN(SUM($AM172:AQ172),43)-35-SUM($AM174:AP174)),0),0)</f>
        <v>0</v>
      </c>
      <c r="AR174" s="66">
        <f>IF(AR167&lt;&gt;"Dim",IF(SUM($AM172:AR172)&gt;35,(MIN(SUM($AM172:AR172),43)-35-SUM($AM174:AQ174)),0),0)</f>
        <v>0</v>
      </c>
      <c r="AS174" s="66">
        <f>IF(AS167&lt;&gt;"Dim",IF(SUM($AM172:AS172)&gt;35,(MIN(SUM($AM172:AS172),43)-35-SUM($AM174:AR174)),0),0)</f>
        <v>0</v>
      </c>
      <c r="AT174" s="60">
        <f t="shared" si="392"/>
        <v>0</v>
      </c>
      <c r="AU174" s="60"/>
      <c r="AV174" s="66">
        <f>IF(AV167&lt;&gt;"Dim",IF(AV172&gt;35,(MIN(AV172,43)-35),0),0)</f>
        <v>0</v>
      </c>
      <c r="AW174" s="66">
        <f>IF(AW167&lt;&gt;"Dim",IF(SUM($AV172:AW172)&gt;35,(MIN(SUM($AV172:AW172),43)-35-SUM($AV174:AV174)),0),0)</f>
        <v>0</v>
      </c>
      <c r="AX174" s="60">
        <f t="shared" si="382"/>
        <v>0</v>
      </c>
      <c r="AY174" s="60">
        <f t="shared" si="394"/>
        <v>0</v>
      </c>
    </row>
    <row r="175" spans="1:58" ht="15" customHeight="1" x14ac:dyDescent="0.25">
      <c r="A175" s="21" t="s">
        <v>5</v>
      </c>
      <c r="B175" s="81"/>
      <c r="C175" s="66">
        <f>IF(C167&lt;&gt;"Dim",IF(C172&gt;43,(MIN(C172,48)-43),0),0)</f>
        <v>0</v>
      </c>
      <c r="D175" s="66">
        <f>IF(D167&lt;&gt;"Dim",IF(SUM($C172:D172)&gt;43,(MIN(SUM($C172:D172),48)-43-SUM($C175:C175)),0),0)</f>
        <v>0</v>
      </c>
      <c r="E175" s="66">
        <f>IF(E167&lt;&gt;"Dim",IF(SUM($C172:E172)&gt;43,(MIN(SUM($C172:E172),48)-43-SUM($C175:D175)),0),0)</f>
        <v>0</v>
      </c>
      <c r="F175" s="66">
        <f>IF(F167&lt;&gt;"Dim",IF(SUM($C172:F172)&gt;43,(MIN(SUM($C172:F172),48)-43-SUM($C175:E175)),0),0)</f>
        <v>0</v>
      </c>
      <c r="G175" s="66">
        <f>IF(G167&lt;&gt;"Dim",IF(SUM($C172:G172)&gt;43,(MIN(SUM($C172:G172),48)-43-SUM($C175:F175)),0),0)</f>
        <v>0</v>
      </c>
      <c r="H175" s="66">
        <f>IF(H167&lt;&gt;"Dim",IF(SUM($C172:H172)&gt;43,(MIN(SUM($C172:H172),48)-43-SUM($C175:G175)),0),0)</f>
        <v>0</v>
      </c>
      <c r="I175" s="66">
        <f>IF(I167&lt;&gt;"Dim",IF(SUM($C172:I172)&gt;43,(MIN(SUM($C172:I172),48)-43-SUM($C175:H175)),0),0)</f>
        <v>0</v>
      </c>
      <c r="J175" s="60">
        <f t="shared" si="384"/>
        <v>0</v>
      </c>
      <c r="K175" s="60"/>
      <c r="L175" s="66">
        <f>IF(L167&lt;&gt;"Dim",IF(L172&gt;43,(MIN(L172,48)-43),0),0)</f>
        <v>0</v>
      </c>
      <c r="M175" s="66">
        <f>IF(M167&lt;&gt;"Dim",IF(SUM($L172:M172)&gt;43,(MIN(SUM($L172:M172),48)-43-SUM($L175:L175)),0),0)</f>
        <v>0</v>
      </c>
      <c r="N175" s="66">
        <f>IF(N167&lt;&gt;"Dim",IF(SUM($L172:N172)&gt;43,(MIN(SUM($L172:N172),48)-43-SUM($L175:M175)),0),0)</f>
        <v>0</v>
      </c>
      <c r="O175" s="66">
        <f>IF(O167&lt;&gt;"Dim",IF(SUM($L172:O172)&gt;43,(MIN(SUM($L172:O172),48)-43-SUM($L175:N175)),0),0)</f>
        <v>0</v>
      </c>
      <c r="P175" s="66">
        <f>IF(P167&lt;&gt;"Dim",IF(SUM($L172:P172)&gt;43,(MIN(SUM($L172:P172),48)-43-SUM($L175:O175)),0),0)</f>
        <v>0</v>
      </c>
      <c r="Q175" s="66">
        <f>IF(Q167&lt;&gt;"Dim",IF(SUM($L172:Q172)&gt;43,(MIN(SUM($L172:Q172),48)-43-SUM($L175:P175)),0),0)</f>
        <v>0</v>
      </c>
      <c r="R175" s="66">
        <f>IF(R167&lt;&gt;"Dim",IF(SUM($L172:R172)&gt;43,(MIN(SUM($L172:R172),48)-43-SUM($L175:Q175)),0),0)</f>
        <v>0</v>
      </c>
      <c r="S175" s="60">
        <f t="shared" si="386"/>
        <v>0</v>
      </c>
      <c r="T175" s="60"/>
      <c r="U175" s="66">
        <f>IF(U167&lt;&gt;"Dim",IF(U172&gt;43,(MIN(U172,48)-43),0),0)</f>
        <v>0</v>
      </c>
      <c r="V175" s="66">
        <f>IF(V167&lt;&gt;"Dim",IF(SUM($U172:V172)&gt;43,(MIN(SUM($U172:V172),48)-43-SUM($U175:U175)),0),0)</f>
        <v>0</v>
      </c>
      <c r="W175" s="66">
        <f>IF(W167&lt;&gt;"Dim",IF(SUM($U172:W172)&gt;43,(MIN(SUM($U172:W172),48)-43-SUM($U175:V175)),0),0)</f>
        <v>0</v>
      </c>
      <c r="X175" s="66">
        <f>IF(X167&lt;&gt;"Dim",IF(SUM($U172:X172)&gt;43,(MIN(SUM($U172:X172),48)-43-SUM($U175:W175)),0),0)</f>
        <v>0</v>
      </c>
      <c r="Y175" s="66">
        <f>IF(Y167&lt;&gt;"Dim",IF(SUM($U172:Y172)&gt;43,(MIN(SUM($U172:Y172),48)-43-SUM($U175:X175)),0),0)</f>
        <v>0</v>
      </c>
      <c r="Z175" s="66">
        <f>IF(Z167&lt;&gt;"Dim",IF(SUM($U172:Z172)&gt;43,(MIN(SUM($U172:Z172),48)-43-SUM($U175:Y175)),0),0)</f>
        <v>0</v>
      </c>
      <c r="AA175" s="66">
        <f>IF(AA167&lt;&gt;"Dim",IF(SUM($U172:AA172)&gt;43,(MIN(SUM($U172:AA172),48)-43-SUM($U175:Z175)),0),0)</f>
        <v>0</v>
      </c>
      <c r="AB175" s="60">
        <f t="shared" si="388"/>
        <v>0</v>
      </c>
      <c r="AC175" s="60"/>
      <c r="AD175" s="66">
        <f>IF(AD167&lt;&gt;"Dim",IF(AD172&gt;43,(MIN(AD172,48)-43),0),0)</f>
        <v>0</v>
      </c>
      <c r="AE175" s="66">
        <f>IF(AE167&lt;&gt;"Dim",IF(SUM($AD172:AE172)&gt;43,(MIN(SUM($AD172:AE172),48)-43-SUM($AD175:AD175)),0),0)</f>
        <v>0</v>
      </c>
      <c r="AF175" s="66">
        <f>IF(AF167&lt;&gt;"Dim",IF(SUM($AD172:AF172)&gt;43,(MIN(SUM($AD172:AF172),48)-43-SUM($AD175:AE175)),0),0)</f>
        <v>0</v>
      </c>
      <c r="AG175" s="66">
        <f>IF(AG167&lt;&gt;"Dim",IF(SUM($AD172:AG172)&gt;43,(MIN(SUM($AD172:AG172),48)-43-SUM($AD175:AF175)),0),0)</f>
        <v>0</v>
      </c>
      <c r="AH175" s="66">
        <f>IF(AH167&lt;&gt;"Dim",IF(SUM($AD172:AH172)&gt;43,(MIN(SUM($AD172:AH172),48)-43-SUM($AD175:AG175)),0),0)</f>
        <v>0</v>
      </c>
      <c r="AI175" s="66">
        <f>IF(AI167&lt;&gt;"Dim",IF(SUM($AD172:AI172)&gt;43,(MIN(SUM($AD172:AI172),48)-43-SUM($AD175:AH175)),0),0)</f>
        <v>0</v>
      </c>
      <c r="AJ175" s="66">
        <f>IF(AJ167&lt;&gt;"Dim",IF(SUM($AD172:AJ172)&gt;43,(MIN(SUM($AD172:AJ172),48)-43-SUM($AD175:AI175)),0),0)</f>
        <v>0</v>
      </c>
      <c r="AK175" s="60">
        <f t="shared" si="390"/>
        <v>0</v>
      </c>
      <c r="AL175" s="60"/>
      <c r="AM175" s="66">
        <f>IF(AM167&lt;&gt;"Dim",IF(AM172&gt;43,(MIN(AM172,48)-43),0),0)</f>
        <v>0</v>
      </c>
      <c r="AN175" s="66">
        <f>IF(AN167&lt;&gt;"Dim",IF(SUM($AM172:AN172)&gt;43,(MIN(SUM($AM172:AN172),48)-43-SUM($AM175:AM175)),0),0)</f>
        <v>0</v>
      </c>
      <c r="AO175" s="66">
        <f>IF(AO167&lt;&gt;"Dim",IF(SUM($AM172:AO172)&gt;43,(MIN(SUM($AM172:AO172),48)-43-SUM($AM175:AN175)),0),0)</f>
        <v>0</v>
      </c>
      <c r="AP175" s="66">
        <f>IF(AP167&lt;&gt;"Dim",IF(SUM($AM172:AP172)&gt;43,(MIN(SUM($AM172:AP172),48)-43-SUM($AM175:AO175)),0),0)</f>
        <v>0</v>
      </c>
      <c r="AQ175" s="66">
        <f>IF(AQ167&lt;&gt;"Dim",IF(SUM($AM172:AQ172)&gt;43,(MIN(SUM($AM172:AQ172),48)-43-SUM($AM175:AP175)),0),0)</f>
        <v>0</v>
      </c>
      <c r="AR175" s="66">
        <f>IF(AR167&lt;&gt;"Dim",IF(SUM($AM172:AR172)&gt;43,(MIN(SUM($AM172:AR172),48)-43-SUM($AM175:AQ175)),0),0)</f>
        <v>0</v>
      </c>
      <c r="AS175" s="66">
        <f>IF(AS167&lt;&gt;"Dim",IF(SUM($AM172:AS172)&gt;43,(MIN(SUM($AM172:AS172),48)-43-SUM($AM175:AR175)),0),0)</f>
        <v>0</v>
      </c>
      <c r="AT175" s="60">
        <f t="shared" si="392"/>
        <v>0</v>
      </c>
      <c r="AU175" s="60"/>
      <c r="AV175" s="66">
        <f>IF(AV167&lt;&gt;"Dim",IF(AV172&gt;43,(MIN(AV172,48)-43),0),0)</f>
        <v>0</v>
      </c>
      <c r="AW175" s="66">
        <f>IF(AW167&lt;&gt;"Dim",IF(SUM($AV172:AW172)&gt;43,(MIN(SUM($AV172:AW172),48)-43-SUM($AV175:AV175)),0),0)</f>
        <v>0</v>
      </c>
      <c r="AX175" s="60">
        <f t="shared" si="382"/>
        <v>0</v>
      </c>
      <c r="AY175" s="60">
        <f t="shared" si="394"/>
        <v>0</v>
      </c>
    </row>
    <row r="176" spans="1:58" ht="15" customHeight="1" x14ac:dyDescent="0.25">
      <c r="A176" s="21" t="s">
        <v>7</v>
      </c>
      <c r="B176" s="81"/>
      <c r="C176" s="66">
        <f>IF(C167="Dim",C172,IF(C182="ferie",C172,0))</f>
        <v>0</v>
      </c>
      <c r="D176" s="66">
        <f t="shared" ref="D176:I176" si="401">IF(D167="Dim",D172,IF(D182="ferie",D172,0))</f>
        <v>0</v>
      </c>
      <c r="E176" s="66">
        <f t="shared" si="401"/>
        <v>0</v>
      </c>
      <c r="F176" s="66">
        <f t="shared" si="401"/>
        <v>0</v>
      </c>
      <c r="G176" s="66">
        <f t="shared" si="401"/>
        <v>0</v>
      </c>
      <c r="H176" s="66">
        <f t="shared" si="401"/>
        <v>0</v>
      </c>
      <c r="I176" s="66">
        <f t="shared" si="401"/>
        <v>0</v>
      </c>
      <c r="J176" s="60">
        <f t="shared" si="384"/>
        <v>0</v>
      </c>
      <c r="K176" s="60"/>
      <c r="L176" s="66">
        <f>IF(L167="Dim",L172,IF(L182="ferie",L172,0))</f>
        <v>0</v>
      </c>
      <c r="M176" s="66">
        <f t="shared" ref="M176:R176" si="402">IF(M167="Dim",M172,IF(M182="ferie",M172,0))</f>
        <v>0</v>
      </c>
      <c r="N176" s="66">
        <f t="shared" si="402"/>
        <v>0</v>
      </c>
      <c r="O176" s="66">
        <f t="shared" si="402"/>
        <v>0</v>
      </c>
      <c r="P176" s="66">
        <f t="shared" si="402"/>
        <v>0</v>
      </c>
      <c r="Q176" s="66">
        <f>IF(Q167="Dim",Q172,IF(Q182="ferie",Q172,0))</f>
        <v>0</v>
      </c>
      <c r="R176" s="66">
        <f t="shared" si="402"/>
        <v>0</v>
      </c>
      <c r="S176" s="60">
        <f t="shared" ref="S176" si="403">SUM(L176:R176)</f>
        <v>0</v>
      </c>
      <c r="T176" s="60"/>
      <c r="U176" s="66">
        <f>IF(U167="Dim",U172,IF(U182="ferie",U172,0))</f>
        <v>0</v>
      </c>
      <c r="V176" s="66">
        <f t="shared" ref="V176:AA176" si="404">IF(V167="Dim",V172,IF(V182="ferie",V172,0))</f>
        <v>0</v>
      </c>
      <c r="W176" s="66">
        <f t="shared" si="404"/>
        <v>0</v>
      </c>
      <c r="X176" s="66">
        <f t="shared" si="404"/>
        <v>0</v>
      </c>
      <c r="Y176" s="66">
        <f t="shared" si="404"/>
        <v>0</v>
      </c>
      <c r="Z176" s="66">
        <f t="shared" si="404"/>
        <v>0</v>
      </c>
      <c r="AA176" s="66">
        <f t="shared" si="404"/>
        <v>0</v>
      </c>
      <c r="AB176" s="60">
        <f t="shared" si="388"/>
        <v>0</v>
      </c>
      <c r="AC176" s="60"/>
      <c r="AD176" s="66">
        <f>IF(AD167="Dim",AD172,IF(AD182="ferie",AD172,0))</f>
        <v>0</v>
      </c>
      <c r="AE176" s="66">
        <f t="shared" ref="AE176:AJ176" si="405">IF(AE167="Dim",AE172,IF(AE182="ferie",AE172,0))</f>
        <v>0</v>
      </c>
      <c r="AF176" s="66">
        <f t="shared" si="405"/>
        <v>0</v>
      </c>
      <c r="AG176" s="66">
        <f t="shared" si="405"/>
        <v>0</v>
      </c>
      <c r="AH176" s="66">
        <f t="shared" si="405"/>
        <v>0</v>
      </c>
      <c r="AI176" s="66">
        <f t="shared" si="405"/>
        <v>0</v>
      </c>
      <c r="AJ176" s="66">
        <f t="shared" si="405"/>
        <v>0</v>
      </c>
      <c r="AK176" s="60">
        <f t="shared" si="390"/>
        <v>0</v>
      </c>
      <c r="AL176" s="60"/>
      <c r="AM176" s="66">
        <f>IF(AM167="Dim",AM172,IF(AM182="ferie",AM172,0))</f>
        <v>0</v>
      </c>
      <c r="AN176" s="66">
        <f t="shared" ref="AN176:AW176" si="406">IF(AN167="Dim",AN172,IF(AN182="ferie",AN172,0))</f>
        <v>0</v>
      </c>
      <c r="AO176" s="66">
        <f t="shared" si="406"/>
        <v>0</v>
      </c>
      <c r="AP176" s="66">
        <f t="shared" si="406"/>
        <v>0</v>
      </c>
      <c r="AQ176" s="66">
        <f t="shared" si="406"/>
        <v>0</v>
      </c>
      <c r="AR176" s="66">
        <f t="shared" si="406"/>
        <v>0</v>
      </c>
      <c r="AS176" s="66">
        <f t="shared" si="406"/>
        <v>0</v>
      </c>
      <c r="AT176" s="60">
        <f>SUM(AM176:AS176)</f>
        <v>0</v>
      </c>
      <c r="AU176" s="60"/>
      <c r="AV176" s="66">
        <f>IF(AV167="Dim",AV172,IF(AV182="ferie",AV172,0))</f>
        <v>0</v>
      </c>
      <c r="AW176" s="66">
        <f t="shared" si="406"/>
        <v>0</v>
      </c>
      <c r="AX176" s="60">
        <f t="shared" si="382"/>
        <v>0</v>
      </c>
      <c r="AY176" s="60">
        <f t="shared" si="394"/>
        <v>0</v>
      </c>
    </row>
    <row r="177" spans="1:58" ht="15" customHeight="1" x14ac:dyDescent="0.25">
      <c r="A177" s="21" t="s">
        <v>8</v>
      </c>
      <c r="B177" s="81"/>
      <c r="C177" s="31"/>
      <c r="D177" s="31"/>
      <c r="E177" s="31"/>
      <c r="F177" s="31"/>
      <c r="G177" s="31"/>
      <c r="H177" s="31"/>
      <c r="I177" s="31"/>
      <c r="J177" s="60">
        <f t="shared" si="384"/>
        <v>0</v>
      </c>
      <c r="K177" s="60"/>
      <c r="L177" s="31"/>
      <c r="M177" s="31"/>
      <c r="N177" s="31"/>
      <c r="O177" s="31"/>
      <c r="P177" s="31"/>
      <c r="Q177" s="31"/>
      <c r="R177" s="31"/>
      <c r="S177" s="60">
        <f t="shared" si="386"/>
        <v>0</v>
      </c>
      <c r="T177" s="60"/>
      <c r="U177" s="31"/>
      <c r="V177" s="31"/>
      <c r="W177" s="31"/>
      <c r="X177" s="31"/>
      <c r="Y177" s="31"/>
      <c r="Z177" s="31"/>
      <c r="AA177" s="31"/>
      <c r="AB177" s="60">
        <f t="shared" si="388"/>
        <v>0</v>
      </c>
      <c r="AC177" s="60"/>
      <c r="AD177" s="31"/>
      <c r="AE177" s="31"/>
      <c r="AF177" s="31"/>
      <c r="AG177" s="31"/>
      <c r="AH177" s="31"/>
      <c r="AI177" s="31"/>
      <c r="AJ177" s="31"/>
      <c r="AK177" s="60">
        <f t="shared" si="390"/>
        <v>0</v>
      </c>
      <c r="AL177" s="60"/>
      <c r="AM177" s="31"/>
      <c r="AN177" s="31"/>
      <c r="AO177" s="31"/>
      <c r="AP177" s="31"/>
      <c r="AQ177" s="31"/>
      <c r="AR177" s="31"/>
      <c r="AS177" s="31"/>
      <c r="AT177" s="60">
        <f t="shared" si="392"/>
        <v>0</v>
      </c>
      <c r="AU177" s="60"/>
      <c r="AV177" s="31"/>
      <c r="AW177" s="31"/>
      <c r="AX177" s="60">
        <f t="shared" si="382"/>
        <v>0</v>
      </c>
      <c r="AY177" s="60">
        <f t="shared" si="394"/>
        <v>0</v>
      </c>
    </row>
    <row r="178" spans="1:58" ht="15" customHeight="1" x14ac:dyDescent="0.25">
      <c r="A178" s="36" t="s">
        <v>9</v>
      </c>
      <c r="B178" s="82"/>
      <c r="C178" s="31"/>
      <c r="D178" s="31"/>
      <c r="E178" s="31"/>
      <c r="F178" s="31"/>
      <c r="G178" s="31"/>
      <c r="H178" s="31"/>
      <c r="I178" s="31"/>
      <c r="J178" s="60">
        <f t="shared" si="384"/>
        <v>0</v>
      </c>
      <c r="K178" s="60"/>
      <c r="L178" s="31"/>
      <c r="M178" s="31"/>
      <c r="N178" s="31"/>
      <c r="O178" s="31"/>
      <c r="P178" s="31"/>
      <c r="Q178" s="31"/>
      <c r="R178" s="31"/>
      <c r="S178" s="60">
        <f t="shared" si="386"/>
        <v>0</v>
      </c>
      <c r="T178" s="60"/>
      <c r="U178" s="31"/>
      <c r="V178" s="31"/>
      <c r="W178" s="31"/>
      <c r="X178" s="31"/>
      <c r="Y178" s="31"/>
      <c r="Z178" s="31"/>
      <c r="AA178" s="31"/>
      <c r="AB178" s="60">
        <f t="shared" si="388"/>
        <v>0</v>
      </c>
      <c r="AC178" s="60"/>
      <c r="AD178" s="31"/>
      <c r="AE178" s="31"/>
      <c r="AF178" s="31"/>
      <c r="AG178" s="31"/>
      <c r="AH178" s="31"/>
      <c r="AI178" s="31"/>
      <c r="AJ178" s="31"/>
      <c r="AK178" s="60">
        <f t="shared" si="390"/>
        <v>0</v>
      </c>
      <c r="AL178" s="60"/>
      <c r="AM178" s="31"/>
      <c r="AN178" s="31"/>
      <c r="AO178" s="31"/>
      <c r="AP178" s="31"/>
      <c r="AQ178" s="31"/>
      <c r="AR178" s="31"/>
      <c r="AS178" s="31"/>
      <c r="AT178" s="60">
        <f t="shared" si="392"/>
        <v>0</v>
      </c>
      <c r="AU178" s="60"/>
      <c r="AV178" s="31"/>
      <c r="AW178" s="31"/>
      <c r="AX178" s="60">
        <f t="shared" ref="AX178:AX180" si="407">SUM(AV178:AW178)</f>
        <v>0</v>
      </c>
      <c r="AY178" s="60">
        <f t="shared" si="394"/>
        <v>0</v>
      </c>
    </row>
    <row r="179" spans="1:58" ht="15" customHeight="1" x14ac:dyDescent="0.25">
      <c r="A179" s="21" t="s">
        <v>11</v>
      </c>
      <c r="B179" s="81"/>
      <c r="C179" s="31"/>
      <c r="D179" s="31"/>
      <c r="E179" s="31"/>
      <c r="F179" s="31"/>
      <c r="G179" s="31"/>
      <c r="H179" s="31"/>
      <c r="I179" s="31"/>
      <c r="J179" s="60">
        <f t="shared" si="384"/>
        <v>0</v>
      </c>
      <c r="K179" s="60"/>
      <c r="L179" s="31"/>
      <c r="M179" s="31"/>
      <c r="N179" s="31"/>
      <c r="O179" s="31"/>
      <c r="P179" s="31"/>
      <c r="Q179" s="31"/>
      <c r="R179" s="31"/>
      <c r="S179" s="60">
        <f t="shared" si="386"/>
        <v>0</v>
      </c>
      <c r="T179" s="60"/>
      <c r="U179" s="31"/>
      <c r="V179" s="31"/>
      <c r="W179" s="31"/>
      <c r="X179" s="31"/>
      <c r="Y179" s="31"/>
      <c r="Z179" s="31"/>
      <c r="AA179" s="31"/>
      <c r="AB179" s="60">
        <f t="shared" si="388"/>
        <v>0</v>
      </c>
      <c r="AC179" s="60"/>
      <c r="AD179" s="31"/>
      <c r="AE179" s="31"/>
      <c r="AF179" s="31"/>
      <c r="AG179" s="31"/>
      <c r="AH179" s="31"/>
      <c r="AI179" s="31"/>
      <c r="AJ179" s="31"/>
      <c r="AK179" s="60">
        <f t="shared" si="390"/>
        <v>0</v>
      </c>
      <c r="AL179" s="60"/>
      <c r="AM179" s="31"/>
      <c r="AN179" s="31"/>
      <c r="AO179" s="31"/>
      <c r="AP179" s="31"/>
      <c r="AQ179" s="31"/>
      <c r="AR179" s="31"/>
      <c r="AS179" s="31"/>
      <c r="AT179" s="60">
        <f t="shared" si="392"/>
        <v>0</v>
      </c>
      <c r="AU179" s="60"/>
      <c r="AV179" s="31"/>
      <c r="AW179" s="31"/>
      <c r="AX179" s="60">
        <f t="shared" si="407"/>
        <v>0</v>
      </c>
      <c r="AY179" s="60">
        <f t="shared" si="394"/>
        <v>0</v>
      </c>
    </row>
    <row r="180" spans="1:58" ht="15" customHeight="1" x14ac:dyDescent="0.25">
      <c r="A180" s="36" t="s">
        <v>10</v>
      </c>
      <c r="B180" s="82"/>
      <c r="C180" s="31"/>
      <c r="D180" s="31"/>
      <c r="E180" s="31"/>
      <c r="F180" s="31"/>
      <c r="G180" s="31"/>
      <c r="H180" s="31"/>
      <c r="I180" s="31"/>
      <c r="J180" s="60">
        <f t="shared" si="384"/>
        <v>0</v>
      </c>
      <c r="K180" s="60"/>
      <c r="L180" s="31"/>
      <c r="M180" s="31"/>
      <c r="N180" s="31"/>
      <c r="O180" s="31"/>
      <c r="P180" s="31"/>
      <c r="Q180" s="31"/>
      <c r="R180" s="31"/>
      <c r="S180" s="60">
        <f t="shared" si="386"/>
        <v>0</v>
      </c>
      <c r="T180" s="60"/>
      <c r="U180" s="31"/>
      <c r="V180" s="31"/>
      <c r="W180" s="31"/>
      <c r="X180" s="31"/>
      <c r="Y180" s="31"/>
      <c r="Z180" s="31"/>
      <c r="AA180" s="31"/>
      <c r="AB180" s="60">
        <f t="shared" si="388"/>
        <v>0</v>
      </c>
      <c r="AC180" s="60"/>
      <c r="AD180" s="31"/>
      <c r="AE180" s="31"/>
      <c r="AF180" s="31"/>
      <c r="AG180" s="31"/>
      <c r="AH180" s="31"/>
      <c r="AI180" s="31"/>
      <c r="AJ180" s="31"/>
      <c r="AK180" s="60">
        <f t="shared" si="390"/>
        <v>0</v>
      </c>
      <c r="AL180" s="60"/>
      <c r="AM180" s="31"/>
      <c r="AN180" s="31"/>
      <c r="AO180" s="31"/>
      <c r="AP180" s="31"/>
      <c r="AQ180" s="31"/>
      <c r="AR180" s="31"/>
      <c r="AS180" s="31"/>
      <c r="AT180" s="60">
        <f t="shared" si="392"/>
        <v>0</v>
      </c>
      <c r="AU180" s="60"/>
      <c r="AV180" s="31"/>
      <c r="AW180" s="31"/>
      <c r="AX180" s="60">
        <f t="shared" si="407"/>
        <v>0</v>
      </c>
      <c r="AY180" s="60">
        <f t="shared" si="394"/>
        <v>0</v>
      </c>
    </row>
    <row r="181" spans="1:58" s="33" customFormat="1" ht="15" customHeight="1" x14ac:dyDescent="0.25">
      <c r="A181" s="36" t="s">
        <v>44</v>
      </c>
      <c r="B181" s="82"/>
      <c r="C181" s="60">
        <f>IF(C169="nuit",C172*0.02,0)</f>
        <v>0</v>
      </c>
      <c r="D181" s="60">
        <f>IF(D169="nuit",D172*0.02,0)</f>
        <v>0</v>
      </c>
      <c r="E181" s="60">
        <f t="shared" ref="E181:I181" si="408">IF(E169="nuit",E172*0.02,0)</f>
        <v>0</v>
      </c>
      <c r="F181" s="60">
        <f t="shared" si="408"/>
        <v>0</v>
      </c>
      <c r="G181" s="60">
        <f>IF(G169="nuit",G172*0.02,0)</f>
        <v>0</v>
      </c>
      <c r="H181" s="60">
        <f t="shared" si="408"/>
        <v>0</v>
      </c>
      <c r="I181" s="60">
        <f t="shared" si="408"/>
        <v>0</v>
      </c>
      <c r="J181" s="60">
        <f t="shared" si="384"/>
        <v>0</v>
      </c>
      <c r="K181" s="60"/>
      <c r="L181" s="60">
        <f>IF(L169="nuit",L172*0.02,0)</f>
        <v>0</v>
      </c>
      <c r="M181" s="60">
        <f>IF(M169="nuit",M172*0.02,0)</f>
        <v>0</v>
      </c>
      <c r="N181" s="60">
        <f t="shared" ref="N181:R181" si="409">IF(N169="nuit",N172*0.02,0)</f>
        <v>0</v>
      </c>
      <c r="O181" s="60">
        <f t="shared" si="409"/>
        <v>0</v>
      </c>
      <c r="P181" s="60">
        <f>IF(P169="nuit",P172*0.02,0)</f>
        <v>0</v>
      </c>
      <c r="Q181" s="60">
        <f t="shared" si="409"/>
        <v>0</v>
      </c>
      <c r="R181" s="60">
        <f t="shared" si="409"/>
        <v>0</v>
      </c>
      <c r="S181" s="60">
        <f t="shared" si="386"/>
        <v>0</v>
      </c>
      <c r="T181" s="60"/>
      <c r="U181" s="60">
        <f>IF(U169="nuit",U172*0.02,0)</f>
        <v>0</v>
      </c>
      <c r="V181" s="60">
        <f>IF(V169="nuit",V172*0.02,0)</f>
        <v>0</v>
      </c>
      <c r="W181" s="60">
        <f t="shared" ref="W181:AA181" si="410">IF(W169="nuit",W172*0.02,0)</f>
        <v>0</v>
      </c>
      <c r="X181" s="60">
        <f t="shared" si="410"/>
        <v>0</v>
      </c>
      <c r="Y181" s="60">
        <f>IF(Y169="nuit",Y172*0.02,0)</f>
        <v>0</v>
      </c>
      <c r="Z181" s="60">
        <f t="shared" si="410"/>
        <v>0</v>
      </c>
      <c r="AA181" s="60">
        <f t="shared" si="410"/>
        <v>0</v>
      </c>
      <c r="AB181" s="60">
        <f t="shared" si="388"/>
        <v>0</v>
      </c>
      <c r="AC181" s="60"/>
      <c r="AD181" s="60">
        <f>IF(AD169="nuit",AD172*0.02,0)</f>
        <v>0</v>
      </c>
      <c r="AE181" s="60">
        <f>IF(AE169="nuit",AE172*0.02,0)</f>
        <v>0</v>
      </c>
      <c r="AF181" s="60">
        <f t="shared" ref="AF181:AJ181" si="411">IF(AF169="nuit",AF172*0.02,0)</f>
        <v>0</v>
      </c>
      <c r="AG181" s="60">
        <f t="shared" si="411"/>
        <v>0</v>
      </c>
      <c r="AH181" s="60">
        <f>IF(AH169="nuit",AH172*0.02,0)</f>
        <v>0</v>
      </c>
      <c r="AI181" s="60">
        <f t="shared" si="411"/>
        <v>0</v>
      </c>
      <c r="AJ181" s="60">
        <f t="shared" si="411"/>
        <v>0</v>
      </c>
      <c r="AK181" s="60">
        <f t="shared" si="390"/>
        <v>0</v>
      </c>
      <c r="AL181" s="60"/>
      <c r="AM181" s="60">
        <f>IF(AM169="nuit",AM172*0.02,0)</f>
        <v>0</v>
      </c>
      <c r="AN181" s="60">
        <f>IF(AN169="nuit",AN172*0.02,0)</f>
        <v>0</v>
      </c>
      <c r="AO181" s="60">
        <f t="shared" ref="AO181:AS181" si="412">IF(AO169="nuit",AO172*0.02,0)</f>
        <v>0</v>
      </c>
      <c r="AP181" s="60">
        <f t="shared" si="412"/>
        <v>0</v>
      </c>
      <c r="AQ181" s="60">
        <f>IF(AQ169="nuit",AQ172*0.02,0)</f>
        <v>0</v>
      </c>
      <c r="AR181" s="60">
        <f t="shared" si="412"/>
        <v>0</v>
      </c>
      <c r="AS181" s="60">
        <f t="shared" si="412"/>
        <v>0</v>
      </c>
      <c r="AT181" s="60">
        <f t="shared" si="392"/>
        <v>0</v>
      </c>
      <c r="AU181" s="60"/>
      <c r="AV181" s="60">
        <f>IF(AV169="nuit",AV172*0.02,0)</f>
        <v>0</v>
      </c>
      <c r="AW181" s="60">
        <f>IF(AW169="nuit",AW172*0.02,0)</f>
        <v>0</v>
      </c>
      <c r="AX181" s="60">
        <f>SUM(AV181:AW181)</f>
        <v>0</v>
      </c>
      <c r="AY181" s="60">
        <f>J181+S181+AB181+AK181+AT181+AX181</f>
        <v>0</v>
      </c>
      <c r="AZ181" s="52"/>
      <c r="BA181" s="52"/>
      <c r="BB181" s="52"/>
      <c r="BC181" s="52"/>
      <c r="BD181" s="52"/>
      <c r="BE181" s="52"/>
      <c r="BF181" s="35"/>
    </row>
    <row r="182" spans="1:58" ht="15" customHeight="1" x14ac:dyDescent="0.25">
      <c r="A182" s="21" t="s">
        <v>31</v>
      </c>
      <c r="B182" s="81"/>
      <c r="C182" s="31"/>
      <c r="D182" s="31"/>
      <c r="E182" s="31"/>
      <c r="F182" s="31"/>
      <c r="G182" s="31"/>
      <c r="H182" s="37"/>
      <c r="I182" s="37"/>
      <c r="J182" s="64"/>
      <c r="K182" s="64"/>
      <c r="L182" s="37"/>
      <c r="M182" s="37"/>
      <c r="N182" s="37"/>
      <c r="O182" s="37"/>
      <c r="P182" s="37"/>
      <c r="Q182" s="37"/>
      <c r="R182" s="37"/>
      <c r="S182" s="64"/>
      <c r="T182" s="64"/>
      <c r="U182" s="37"/>
      <c r="V182" s="37"/>
      <c r="W182" s="37"/>
      <c r="X182" s="37"/>
      <c r="Y182" s="37"/>
      <c r="Z182" s="37"/>
      <c r="AA182" s="37"/>
      <c r="AB182" s="64"/>
      <c r="AC182" s="64"/>
      <c r="AD182" s="37"/>
      <c r="AE182" s="37"/>
      <c r="AF182" s="37"/>
      <c r="AG182" s="37"/>
      <c r="AH182" s="37"/>
      <c r="AI182" s="37"/>
      <c r="AJ182" s="37"/>
      <c r="AK182" s="64"/>
      <c r="AL182" s="64"/>
      <c r="AM182" s="37"/>
      <c r="AN182" s="37"/>
      <c r="AO182" s="37"/>
      <c r="AP182" s="37"/>
      <c r="AQ182" s="37"/>
      <c r="AR182" s="37"/>
      <c r="AS182" s="37"/>
      <c r="AT182" s="64"/>
      <c r="AU182" s="64"/>
      <c r="AV182" s="37"/>
      <c r="AW182" s="37"/>
      <c r="AX182" s="64"/>
      <c r="AY182" s="65"/>
    </row>
    <row r="183" spans="1:58" ht="15" customHeight="1" x14ac:dyDescent="0.25">
      <c r="A183" s="38"/>
      <c r="B183" s="38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69"/>
    </row>
    <row r="184" spans="1:58" ht="27.6" x14ac:dyDescent="0.25">
      <c r="A184" s="21"/>
      <c r="B184" s="21"/>
      <c r="C184" s="24" t="s">
        <v>29</v>
      </c>
      <c r="D184" s="24"/>
      <c r="E184" s="24"/>
      <c r="F184" s="24"/>
      <c r="G184" s="24"/>
      <c r="H184" s="95">
        <f>Année_Calendaire</f>
        <v>2016</v>
      </c>
      <c r="I184" s="95"/>
      <c r="J184" s="49"/>
      <c r="K184" s="79"/>
      <c r="L184" s="31"/>
      <c r="M184" s="31"/>
      <c r="N184" s="31"/>
      <c r="O184" s="31"/>
      <c r="P184" s="31"/>
      <c r="Q184" s="31"/>
      <c r="R184" s="31"/>
      <c r="S184" s="49"/>
      <c r="T184" s="79"/>
      <c r="U184" s="24" t="s">
        <v>29</v>
      </c>
      <c r="V184" s="24"/>
      <c r="W184" s="24"/>
      <c r="X184" s="24"/>
      <c r="Y184" s="24"/>
      <c r="Z184" s="95">
        <f>Année_Calendaire</f>
        <v>2016</v>
      </c>
      <c r="AA184" s="95"/>
      <c r="AB184" s="49"/>
      <c r="AC184" s="79"/>
      <c r="AD184" s="31"/>
      <c r="AE184" s="31"/>
      <c r="AF184" s="31"/>
      <c r="AG184" s="31"/>
      <c r="AH184" s="31"/>
      <c r="AI184" s="31"/>
      <c r="AJ184" s="31"/>
      <c r="AK184" s="49"/>
      <c r="AL184" s="79"/>
      <c r="AM184" s="24" t="s">
        <v>29</v>
      </c>
      <c r="AN184" s="24"/>
      <c r="AO184" s="24"/>
      <c r="AP184" s="24"/>
      <c r="AQ184" s="24"/>
      <c r="AR184" s="95">
        <f>Année_Calendaire</f>
        <v>2016</v>
      </c>
      <c r="AS184" s="95"/>
      <c r="AT184" s="49"/>
      <c r="AU184" s="79"/>
      <c r="AV184" s="31"/>
      <c r="AW184" s="31"/>
      <c r="AX184" s="49"/>
    </row>
    <row r="185" spans="1:58" ht="29.25" customHeight="1" x14ac:dyDescent="0.25">
      <c r="A185" s="31"/>
      <c r="B185" s="31"/>
      <c r="C185" s="62" t="s">
        <v>13</v>
      </c>
      <c r="D185" s="62" t="s">
        <v>14</v>
      </c>
      <c r="E185" s="62" t="s">
        <v>15</v>
      </c>
      <c r="F185" s="62" t="s">
        <v>16</v>
      </c>
      <c r="G185" s="62" t="s">
        <v>17</v>
      </c>
      <c r="H185" s="62" t="s">
        <v>18</v>
      </c>
      <c r="I185" s="62" t="s">
        <v>19</v>
      </c>
      <c r="J185" s="96" t="s">
        <v>32</v>
      </c>
      <c r="K185" s="85"/>
      <c r="L185" s="62" t="s">
        <v>13</v>
      </c>
      <c r="M185" s="62" t="s">
        <v>14</v>
      </c>
      <c r="N185" s="62" t="s">
        <v>15</v>
      </c>
      <c r="O185" s="62" t="s">
        <v>16</v>
      </c>
      <c r="P185" s="62" t="s">
        <v>17</v>
      </c>
      <c r="Q185" s="62" t="s">
        <v>18</v>
      </c>
      <c r="R185" s="62" t="s">
        <v>19</v>
      </c>
      <c r="S185" s="96" t="s">
        <v>32</v>
      </c>
      <c r="T185" s="85"/>
      <c r="U185" s="62" t="s">
        <v>13</v>
      </c>
      <c r="V185" s="62" t="s">
        <v>14</v>
      </c>
      <c r="W185" s="62" t="s">
        <v>15</v>
      </c>
      <c r="X185" s="62" t="s">
        <v>16</v>
      </c>
      <c r="Y185" s="62" t="s">
        <v>17</v>
      </c>
      <c r="Z185" s="62" t="s">
        <v>18</v>
      </c>
      <c r="AA185" s="62" t="s">
        <v>19</v>
      </c>
      <c r="AB185" s="96" t="s">
        <v>32</v>
      </c>
      <c r="AC185" s="85"/>
      <c r="AD185" s="62" t="s">
        <v>13</v>
      </c>
      <c r="AE185" s="62" t="s">
        <v>14</v>
      </c>
      <c r="AF185" s="62" t="s">
        <v>15</v>
      </c>
      <c r="AG185" s="62" t="s">
        <v>16</v>
      </c>
      <c r="AH185" s="62" t="s">
        <v>17</v>
      </c>
      <c r="AI185" s="62" t="s">
        <v>18</v>
      </c>
      <c r="AJ185" s="62" t="s">
        <v>19</v>
      </c>
      <c r="AK185" s="96" t="s">
        <v>32</v>
      </c>
      <c r="AL185" s="85"/>
      <c r="AM185" s="62" t="s">
        <v>13</v>
      </c>
      <c r="AN185" s="62" t="s">
        <v>14</v>
      </c>
      <c r="AO185" s="62" t="s">
        <v>15</v>
      </c>
      <c r="AP185" s="62" t="s">
        <v>16</v>
      </c>
      <c r="AQ185" s="62" t="s">
        <v>17</v>
      </c>
      <c r="AR185" s="62" t="s">
        <v>18</v>
      </c>
      <c r="AS185" s="62" t="s">
        <v>19</v>
      </c>
      <c r="AT185" s="96" t="s">
        <v>32</v>
      </c>
      <c r="AU185" s="85" t="s">
        <v>79</v>
      </c>
      <c r="AV185" s="62" t="s">
        <v>13</v>
      </c>
      <c r="AW185" s="62" t="s">
        <v>14</v>
      </c>
      <c r="AX185" s="96" t="s">
        <v>32</v>
      </c>
      <c r="AY185" s="96" t="s">
        <v>35</v>
      </c>
      <c r="AZ185" s="97">
        <f>AY192+AY193+AY194</f>
        <v>0</v>
      </c>
      <c r="BA185" s="97">
        <f>AZ185+BA167</f>
        <v>10</v>
      </c>
    </row>
    <row r="186" spans="1:58" ht="15" customHeight="1" x14ac:dyDescent="0.25">
      <c r="A186" s="45"/>
      <c r="B186" s="84"/>
      <c r="C186" s="67" t="str">
        <f>IF(DAY(Nov_Dim1)=1,"",IF(AND(YEAR(Nov_Dim1+1)=Année_Calendaire,MONTH(Nov_Dim1+1)=11),Nov_Dim1+1,""))</f>
        <v/>
      </c>
      <c r="D186" s="67">
        <f>IF(DAY(Nov_Dim1)=1,"",IF(AND(YEAR(Nov_Dim1+2)=Année_Calendaire,MONTH(Nov_Dim1+2)=11),Nov_Dim1+2,""))</f>
        <v>42675</v>
      </c>
      <c r="E186" s="67">
        <f>IF(DAY(Nov_Dim1)=1,"",IF(AND(YEAR(Nov_Dim1+3)=Année_Calendaire,MONTH(Nov_Dim1+3)=11),Nov_Dim1+3,""))</f>
        <v>42676</v>
      </c>
      <c r="F186" s="67">
        <f>IF(DAY(Nov_Dim1)=1,"",IF(AND(YEAR(Nov_Dim1+4)=Année_Calendaire,MONTH(Nov_Dim1+4)=11),Nov_Dim1+4,""))</f>
        <v>42677</v>
      </c>
      <c r="G186" s="67">
        <f>IF(DAY(Nov_Dim1)=1,"",IF(AND(YEAR(Nov_Dim1+5)=Année_Calendaire,MONTH(Nov_Dim1+5)=11),Nov_Dim1+5,""))</f>
        <v>42678</v>
      </c>
      <c r="H186" s="67">
        <f>IF(DAY(Nov_Dim1)=1,"",IF(AND(YEAR(Nov_Dim1+6)=Année_Calendaire,MONTH(Nov_Dim1+6)=11),Nov_Dim1+6,""))</f>
        <v>42679</v>
      </c>
      <c r="I186" s="67">
        <f>IF(DAY(Nov_Dim1)=1,IF(AND(YEAR(Nov_Dim1)=Année_Calendaire,MONTH(Nov_Dim1)=11),Nov_Dim1,""),IF(AND(YEAR(Nov_Dim1+7)=Année_Calendaire,MONTH(Nov_Dim1+7)=11),Nov_Dim1+7,""))</f>
        <v>42680</v>
      </c>
      <c r="J186" s="96"/>
      <c r="K186" s="78"/>
      <c r="L186" s="67">
        <f>IF(DAY(Nov_Dim1)=1,IF(AND(YEAR(Nov_Dim1+1)=Année_Calendaire,MONTH(Nov_Dim1+1)=11),Nov_Dim1+1,""),IF(AND(YEAR(Nov_Dim1+8)=Année_Calendaire,MONTH(Nov_Dim1+8)=11),Nov_Dim1+8,""))</f>
        <v>42681</v>
      </c>
      <c r="M186" s="67">
        <f>IF(DAY(Nov_Dim1)=1,IF(AND(YEAR(Nov_Dim1+2)=Année_Calendaire,MONTH(Nov_Dim1+2)=11),Nov_Dim1+2,""),IF(AND(YEAR(Nov_Dim1+9)=Année_Calendaire,MONTH(Nov_Dim1+9)=11),Nov_Dim1+9,""))</f>
        <v>42682</v>
      </c>
      <c r="N186" s="67">
        <f>IF(DAY(Nov_Dim1)=1,IF(AND(YEAR(Nov_Dim1+3)=Année_Calendaire,MONTH(Nov_Dim1+3)=11),Nov_Dim1+3,""),IF(AND(YEAR(Nov_Dim1+10)=Année_Calendaire,MONTH(Nov_Dim1+10)=11),Nov_Dim1+10,""))</f>
        <v>42683</v>
      </c>
      <c r="O186" s="67">
        <f>IF(DAY(Nov_Dim1)=1,IF(AND(YEAR(Nov_Dim1+4)=Année_Calendaire,MONTH(Nov_Dim1+4)=11),Nov_Dim1+4,""),IF(AND(YEAR(Nov_Dim1+11)=Année_Calendaire,MONTH(Nov_Dim1+11)=11),Nov_Dim1+11,""))</f>
        <v>42684</v>
      </c>
      <c r="P186" s="67">
        <f>IF(DAY(Nov_Dim1)=1,IF(AND(YEAR(Nov_Dim1+5)=Année_Calendaire,MONTH(Nov_Dim1+5)=11),Nov_Dim1+5,""),IF(AND(YEAR(Nov_Dim1+12)=Année_Calendaire,MONTH(Nov_Dim1+12)=11),Nov_Dim1+12,""))</f>
        <v>42685</v>
      </c>
      <c r="Q186" s="67">
        <f>IF(DAY(Nov_Dim1)=1,IF(AND(YEAR(Nov_Dim1+6)=Année_Calendaire,MONTH(Nov_Dim1+6)=11),Nov_Dim1+6,""),IF(AND(YEAR(Nov_Dim1+13)=Année_Calendaire,MONTH(Nov_Dim1+13)=11),Nov_Dim1+13,""))</f>
        <v>42686</v>
      </c>
      <c r="R186" s="67">
        <f>IF(DAY(Nov_Dim1)=1,IF(AND(YEAR(Nov_Dim1+7)=Année_Calendaire,MONTH(Nov_Dim1+7)=11),Nov_Dim1+7,""),IF(AND(YEAR(Nov_Dim1+14)=Année_Calendaire,MONTH(Nov_Dim1+14)=11),Nov_Dim1+14,""))</f>
        <v>42687</v>
      </c>
      <c r="S186" s="96"/>
      <c r="T186" s="78"/>
      <c r="U186" s="67">
        <f>IF(DAY(Nov_Dim1)=1,IF(AND(YEAR(Nov_Dim1+8)=Année_Calendaire,MONTH(Nov_Dim1+8)=11),Nov_Dim1+8,""),IF(AND(YEAR(Nov_Dim1+15)=Année_Calendaire,MONTH(Nov_Dim1+15)=11),Nov_Dim1+15,""))</f>
        <v>42688</v>
      </c>
      <c r="V186" s="67">
        <f>IF(DAY(Nov_Dim1)=1,IF(AND(YEAR(Nov_Dim1+9)=Année_Calendaire,MONTH(Nov_Dim1+9)=11),Nov_Dim1+9,""),IF(AND(YEAR(Nov_Dim1+16)=Année_Calendaire,MONTH(Nov_Dim1+16)=11),Nov_Dim1+16,""))</f>
        <v>42689</v>
      </c>
      <c r="W186" s="67">
        <f>IF(DAY(Nov_Dim1)=1,IF(AND(YEAR(Nov_Dim1+10)=Année_Calendaire,MONTH(Nov_Dim1+10)=11),Nov_Dim1+10,""),IF(AND(YEAR(Nov_Dim1+17)=Année_Calendaire,MONTH(Nov_Dim1+17)=11),Nov_Dim1+17,""))</f>
        <v>42690</v>
      </c>
      <c r="X186" s="67">
        <f>IF(DAY(Nov_Dim1)=1,IF(AND(YEAR(Nov_Dim1+11)=Année_Calendaire,MONTH(Nov_Dim1+11)=11),Nov_Dim1+11,""),IF(AND(YEAR(Nov_Dim1+18)=Année_Calendaire,MONTH(Nov_Dim1+18)=11),Nov_Dim1+18,""))</f>
        <v>42691</v>
      </c>
      <c r="Y186" s="67">
        <f>IF(DAY(Nov_Dim1)=1,IF(AND(YEAR(Nov_Dim1+12)=Année_Calendaire,MONTH(Nov_Dim1+12)=11),Nov_Dim1+12,""),IF(AND(YEAR(Nov_Dim1+19)=Année_Calendaire,MONTH(Nov_Dim1+19)=11),Nov_Dim1+19,""))</f>
        <v>42692</v>
      </c>
      <c r="Z186" s="67">
        <f>IF(DAY(Nov_Dim1)=1,IF(AND(YEAR(Nov_Dim1+13)=Année_Calendaire,MONTH(Nov_Dim1+13)=11),Nov_Dim1+13,""),IF(AND(YEAR(Nov_Dim1+20)=Année_Calendaire,MONTH(Nov_Dim1+20)=11),Nov_Dim1+20,""))</f>
        <v>42693</v>
      </c>
      <c r="AA186" s="67">
        <f>IF(DAY(Nov_Dim1)=1,IF(AND(YEAR(Nov_Dim1+14)=Année_Calendaire,MONTH(Nov_Dim1+14)=11),Nov_Dim1+14,""),IF(AND(YEAR(Nov_Dim1+21)=Année_Calendaire,MONTH(Nov_Dim1+21)=11),Nov_Dim1+21,""))</f>
        <v>42694</v>
      </c>
      <c r="AB186" s="96"/>
      <c r="AC186" s="78"/>
      <c r="AD186" s="67">
        <f>IF(DAY(Nov_Dim1)=1,IF(AND(YEAR(Nov_Dim1+15)=Année_Calendaire,MONTH(Nov_Dim1+15)=11),Nov_Dim1+15,""),IF(AND(YEAR(Nov_Dim1+22)=Année_Calendaire,MONTH(Nov_Dim1+22)=11),Nov_Dim1+22,""))</f>
        <v>42695</v>
      </c>
      <c r="AE186" s="67">
        <f>IF(DAY(Nov_Dim1)=1,IF(AND(YEAR(Nov_Dim1+16)=Année_Calendaire,MONTH(Nov_Dim1+16)=11),Nov_Dim1+16,""),IF(AND(YEAR(Nov_Dim1+23)=Année_Calendaire,MONTH(Nov_Dim1+23)=11),Nov_Dim1+23,""))</f>
        <v>42696</v>
      </c>
      <c r="AF186" s="67">
        <f>IF(DAY(Nov_Dim1)=1,IF(AND(YEAR(Nov_Dim1+17)=Année_Calendaire,MONTH(Nov_Dim1+17)=11),Nov_Dim1+17,""),IF(AND(YEAR(Nov_Dim1+24)=Année_Calendaire,MONTH(Nov_Dim1+24)=11),Nov_Dim1+24,""))</f>
        <v>42697</v>
      </c>
      <c r="AG186" s="67">
        <f>IF(DAY(Nov_Dim1)=1,IF(AND(YEAR(Nov_Dim1+18)=Année_Calendaire,MONTH(Nov_Dim1+18)=11),Nov_Dim1+18,""),IF(AND(YEAR(Nov_Dim1+25)=Année_Calendaire,MONTH(Nov_Dim1+25)=11),Nov_Dim1+25,""))</f>
        <v>42698</v>
      </c>
      <c r="AH186" s="67">
        <f>IF(DAY(Nov_Dim1)=1,IF(AND(YEAR(Nov_Dim1+19)=Année_Calendaire,MONTH(Nov_Dim1+19)=11),Nov_Dim1+19,""),IF(AND(YEAR(Nov_Dim1+26)=Année_Calendaire,MONTH(Nov_Dim1+26)=11),Nov_Dim1+26,""))</f>
        <v>42699</v>
      </c>
      <c r="AI186" s="67">
        <f>IF(DAY(Nov_Dim1)=1,IF(AND(YEAR(Nov_Dim1+20)=Année_Calendaire,MONTH(Nov_Dim1+20)=11),Nov_Dim1+20,""),IF(AND(YEAR(Nov_Dim1+27)=Année_Calendaire,MONTH(Nov_Dim1+27)=11),Nov_Dim1+27,""))</f>
        <v>42700</v>
      </c>
      <c r="AJ186" s="67">
        <f>IF(DAY(Nov_Dim1)=1,IF(AND(YEAR(Nov_Dim1+21)=Année_Calendaire,MONTH(Nov_Dim1+21)=11),Nov_Dim1+21,""),IF(AND(YEAR(Nov_Dim1+28)=Année_Calendaire,MONTH(Nov_Dim1+28)=11),Nov_Dim1+28,""))</f>
        <v>42701</v>
      </c>
      <c r="AK186" s="96"/>
      <c r="AL186" s="78"/>
      <c r="AM186" s="67">
        <f>IF(DAY(Nov_Dim1)=1,IF(AND(YEAR(Nov_Dim1+22)=Année_Calendaire,MONTH(Nov_Dim1+22)=11),Nov_Dim1+22,""),IF(AND(YEAR(Nov_Dim1+29)=Année_Calendaire,MONTH(Nov_Dim1+29)=11),Nov_Dim1+29,""))</f>
        <v>42702</v>
      </c>
      <c r="AN186" s="67">
        <f>IF(DAY(Nov_Dim1)=1,IF(AND(YEAR(Nov_Dim1+23)=Année_Calendaire,MONTH(Nov_Dim1+23)=11),Nov_Dim1+23,""),IF(AND(YEAR(Nov_Dim1+30)=Année_Calendaire,MONTH(Nov_Dim1+30)=11),Nov_Dim1+30,""))</f>
        <v>42703</v>
      </c>
      <c r="AO186" s="67">
        <f>IF(DAY(Nov_Dim1)=1,IF(AND(YEAR(Nov_Dim1+24)=Année_Calendaire,MONTH(Nov_Dim1+24)=11),Nov_Dim1+24,""),IF(AND(YEAR(Nov_Dim1+31)=Année_Calendaire,MONTH(Nov_Dim1+31)=11),Nov_Dim1+31,""))</f>
        <v>42704</v>
      </c>
      <c r="AP186" s="67" t="str">
        <f>IF(DAY(Nov_Dim1)=1,IF(AND(YEAR(Nov_Dim1+25)=Année_Calendaire,MONTH(Nov_Dim1+25)=11),Nov_Dim1+25,""),IF(AND(YEAR(Nov_Dim1+32)=Année_Calendaire,MONTH(Nov_Dim1+32)=11),Nov_Dim1+32,""))</f>
        <v/>
      </c>
      <c r="AQ186" s="67" t="str">
        <f>IF(DAY(Nov_Dim1)=1,IF(AND(YEAR(Nov_Dim1+26)=Année_Calendaire,MONTH(Nov_Dim1+26)=11),Nov_Dim1+26,""),IF(AND(YEAR(Nov_Dim1+33)=Année_Calendaire,MONTH(Nov_Dim1+33)=11),Nov_Dim1+33,""))</f>
        <v/>
      </c>
      <c r="AR186" s="67" t="str">
        <f>IF(DAY(Nov_Dim1)=1,IF(AND(YEAR(Nov_Dim1+27)=Année_Calendaire,MONTH(Nov_Dim1+27)=11),Nov_Dim1+27,""),IF(AND(YEAR(Nov_Dim1+34)=Année_Calendaire,MONTH(Nov_Dim1+34)=11),Nov_Dim1+34,""))</f>
        <v/>
      </c>
      <c r="AS186" s="67" t="str">
        <f>IF(DAY(Nov_Dim1)=1,IF(AND(YEAR(Nov_Dim1+28)=Année_Calendaire,MONTH(Nov_Dim1+28)=11),Nov_Dim1+28,""),IF(AND(YEAR(Nov_Dim1+35)=Année_Calendaire,MONTH(Nov_Dim1+35)=11),Nov_Dim1+35,""))</f>
        <v/>
      </c>
      <c r="AT186" s="96"/>
      <c r="AU186" s="78"/>
      <c r="AV186" s="61" t="str">
        <f>IF(DAY(Nov_Dim1)=1,IF(AND(YEAR(Nov_Dim1+29)=Année_Calendaire,MONTH(Nov_Dim1+29)=11),Nov_Dim1+29,""),IF(AND(YEAR(Nov_Dim1+36)=Année_Calendaire,MONTH(Nov_Dim1+36)=11),Nov_Dim1+36,""))</f>
        <v/>
      </c>
      <c r="AW186" s="61" t="str">
        <f>IF(DAY(Nov_Dim1)=1,IF(AND(YEAR(Nov_Dim1+30)=Année_Calendaire,MONTH(Nov_Dim1+30)=11),Nov_Dim1+30,""),IF(AND(YEAR(Nov_Dim1+37)=Année_Calendaire,MONTH(Nov_Dim1+37)=11),Nov_Dim1+37,""))</f>
        <v/>
      </c>
      <c r="AX186" s="96"/>
      <c r="AY186" s="96"/>
      <c r="AZ186" s="97"/>
      <c r="BA186" s="97"/>
    </row>
    <row r="187" spans="1:58" ht="15" customHeight="1" x14ac:dyDescent="0.25">
      <c r="A187" s="21" t="s">
        <v>2</v>
      </c>
      <c r="B187" s="81"/>
      <c r="C187" s="60">
        <f>IFERROR(VLOOKUP(B185,DATA!$A:$H,2,TRUE),0)</f>
        <v>0</v>
      </c>
      <c r="D187" s="60">
        <f>IFERROR(VLOOKUP(B185,DATA!$A:$H,3,TRUE),0)</f>
        <v>0</v>
      </c>
      <c r="E187" s="60">
        <f>IFERROR(VLOOKUP(B185,DATA!$A:$H,4,TRUE),0)</f>
        <v>0</v>
      </c>
      <c r="F187" s="60">
        <f>IFERROR(VLOOKUP(B185,DATA!$A:$H,5,TRUE),0)</f>
        <v>0</v>
      </c>
      <c r="G187" s="60">
        <f>IFERROR(VLOOKUP(B185,DATA!$A:$H,6,TRUE),0)</f>
        <v>0</v>
      </c>
      <c r="H187" s="60">
        <f>IFERROR(VLOOKUP(B185,DATA!$A:$H,7,TRUE),0)</f>
        <v>0</v>
      </c>
      <c r="I187" s="60">
        <f>IFERROR(VLOOKUP(B185,DATA!$A:$H,8,TRUE),0)</f>
        <v>0</v>
      </c>
      <c r="J187" s="60"/>
      <c r="K187" s="60"/>
      <c r="L187" s="60">
        <f>IFERROR(VLOOKUP(K185,DATA!$A:$H,2,TRUE),0)</f>
        <v>0</v>
      </c>
      <c r="M187" s="60">
        <f>IFERROR(VLOOKUP(K185,DATA!$A:$H,3,TRUE),0)</f>
        <v>0</v>
      </c>
      <c r="N187" s="60">
        <f>IFERROR(VLOOKUP(K185,DATA!$A:$H,4,TRUE),0)</f>
        <v>0</v>
      </c>
      <c r="O187" s="60">
        <f>IFERROR(VLOOKUP(K185,DATA!$A:$H,5,TRUE),0)</f>
        <v>0</v>
      </c>
      <c r="P187" s="60">
        <f>IFERROR(VLOOKUP(K185,DATA!$A:$H,6,TRUE),0)</f>
        <v>0</v>
      </c>
      <c r="Q187" s="60">
        <f>IFERROR(VLOOKUP(K185,DATA!$A:$H,7,TRUE),0)</f>
        <v>0</v>
      </c>
      <c r="R187" s="60">
        <f>IFERROR(VLOOKUP(K185,DATA!$A:$H,8,TRUE),0)</f>
        <v>0</v>
      </c>
      <c r="S187" s="60"/>
      <c r="T187" s="60"/>
      <c r="U187" s="60">
        <f>IFERROR(VLOOKUP(T185,DATA!$A:$H,2,TRUE),0)</f>
        <v>0</v>
      </c>
      <c r="V187" s="60">
        <f>IFERROR(VLOOKUP(T185,DATA!$A:$H,3,TRUE),0)</f>
        <v>0</v>
      </c>
      <c r="W187" s="60">
        <f>IFERROR(VLOOKUP(T185,DATA!$A:$H,4,TRUE),0)</f>
        <v>0</v>
      </c>
      <c r="X187" s="60">
        <f>IFERROR(VLOOKUP(T185,DATA!$A:$H,5,TRUE),0)</f>
        <v>0</v>
      </c>
      <c r="Y187" s="60">
        <f>IFERROR(VLOOKUP(T185,DATA!$A:$H,6,TRUE),0)</f>
        <v>0</v>
      </c>
      <c r="Z187" s="60">
        <f>IFERROR(VLOOKUP(T185,DATA!$A:$H,7,TRUE),0)</f>
        <v>0</v>
      </c>
      <c r="AA187" s="60">
        <f>IFERROR(VLOOKUP(T185,DATA!$A:$H,8,TRUE),0)</f>
        <v>0</v>
      </c>
      <c r="AB187" s="60"/>
      <c r="AC187" s="60"/>
      <c r="AD187" s="60">
        <f>IFERROR(VLOOKUP(AC185,DATA!$A:$H,2,TRUE),0)</f>
        <v>0</v>
      </c>
      <c r="AE187" s="60">
        <f>IFERROR(VLOOKUP(AC185,DATA!$A:$H,3,TRUE),0)</f>
        <v>0</v>
      </c>
      <c r="AF187" s="60">
        <f>IFERROR(VLOOKUP(AC185,DATA!$A:$H,4,TRUE),0)</f>
        <v>0</v>
      </c>
      <c r="AG187" s="60">
        <f>IFERROR(VLOOKUP(AC185,DATA!$A:$H,5,TRUE),0)</f>
        <v>0</v>
      </c>
      <c r="AH187" s="60">
        <f>IFERROR(VLOOKUP(AC185,DATA!$A:$H,6,TRUE),0)</f>
        <v>0</v>
      </c>
      <c r="AI187" s="60">
        <f>IFERROR(VLOOKUP(AC185,DATA!$A:$H,7,TRUE),0)</f>
        <v>0</v>
      </c>
      <c r="AJ187" s="60">
        <f>IFERROR(VLOOKUP(AC185,DATA!$A:$H,8,TRUE),0)</f>
        <v>0</v>
      </c>
      <c r="AK187" s="60"/>
      <c r="AL187" s="60"/>
      <c r="AM187" s="60">
        <f>IFERROR(VLOOKUP(AL185,DATA!$A:$H,2,TRUE),0)</f>
        <v>0</v>
      </c>
      <c r="AN187" s="60">
        <f>IFERROR(VLOOKUP(AL185,DATA!$A:$H,3,TRUE),0)</f>
        <v>0</v>
      </c>
      <c r="AO187" s="60">
        <f>IFERROR(VLOOKUP(AL185,DATA!$A:$H,4,TRUE),0)</f>
        <v>0</v>
      </c>
      <c r="AP187" s="60">
        <f>IFERROR(VLOOKUP(AL185,DATA!$A:$H,5,TRUE),0)</f>
        <v>0</v>
      </c>
      <c r="AQ187" s="60">
        <f>IFERROR(VLOOKUP(AL185,DATA!$A:$H,6,TRUE),0)</f>
        <v>0</v>
      </c>
      <c r="AR187" s="60">
        <f>IFERROR(VLOOKUP(AL185,DATA!$A:$H,7,TRUE),0)</f>
        <v>0</v>
      </c>
      <c r="AS187" s="60">
        <f>IFERROR(VLOOKUP(AL185,DATA!$A:$H,8,TRUE),0)</f>
        <v>0</v>
      </c>
      <c r="AT187" s="60"/>
      <c r="AU187" s="60"/>
      <c r="AV187" s="60" t="str">
        <f>IFERROR(VLOOKUP(AU185,DATA!$A:$H,2,TRUE),0)</f>
        <v>matin</v>
      </c>
      <c r="AW187" s="60">
        <f>IFERROR(VLOOKUP(AU185,DATA!$A:$H,3,TRUE),0)</f>
        <v>0</v>
      </c>
      <c r="AX187" s="60"/>
      <c r="AY187" s="63"/>
    </row>
    <row r="188" spans="1:58" ht="15" customHeight="1" x14ac:dyDescent="0.25">
      <c r="A188" s="21" t="s">
        <v>12</v>
      </c>
      <c r="B188" s="81"/>
      <c r="C188" s="60">
        <f t="shared" ref="C188:I188" si="413">IF(C187="Matin",1,IF(C187="AM",1,0))</f>
        <v>0</v>
      </c>
      <c r="D188" s="60">
        <f t="shared" si="413"/>
        <v>0</v>
      </c>
      <c r="E188" s="60">
        <f t="shared" si="413"/>
        <v>0</v>
      </c>
      <c r="F188" s="60">
        <f t="shared" si="413"/>
        <v>0</v>
      </c>
      <c r="G188" s="60">
        <f t="shared" si="413"/>
        <v>0</v>
      </c>
      <c r="H188" s="60">
        <f t="shared" si="413"/>
        <v>0</v>
      </c>
      <c r="I188" s="60">
        <f t="shared" si="413"/>
        <v>0</v>
      </c>
      <c r="J188" s="60">
        <f>SUM(C188:I188)</f>
        <v>0</v>
      </c>
      <c r="K188" s="60"/>
      <c r="L188" s="60">
        <f t="shared" ref="L188:R188" si="414">IF(L187="Matin",1,IF(L187="AM",1,0))</f>
        <v>0</v>
      </c>
      <c r="M188" s="60">
        <f t="shared" si="414"/>
        <v>0</v>
      </c>
      <c r="N188" s="60">
        <f t="shared" si="414"/>
        <v>0</v>
      </c>
      <c r="O188" s="60">
        <f t="shared" si="414"/>
        <v>0</v>
      </c>
      <c r="P188" s="60">
        <f t="shared" si="414"/>
        <v>0</v>
      </c>
      <c r="Q188" s="60">
        <f t="shared" si="414"/>
        <v>0</v>
      </c>
      <c r="R188" s="60">
        <f t="shared" si="414"/>
        <v>0</v>
      </c>
      <c r="S188" s="60">
        <f>SUM(L188:R188)</f>
        <v>0</v>
      </c>
      <c r="T188" s="60"/>
      <c r="U188" s="60">
        <f t="shared" ref="U188:AA188" si="415">IF(U187="Matin",1,IF(U187="AM",1,0))</f>
        <v>0</v>
      </c>
      <c r="V188" s="60">
        <f t="shared" si="415"/>
        <v>0</v>
      </c>
      <c r="W188" s="60">
        <f t="shared" si="415"/>
        <v>0</v>
      </c>
      <c r="X188" s="60">
        <f t="shared" si="415"/>
        <v>0</v>
      </c>
      <c r="Y188" s="60">
        <f t="shared" si="415"/>
        <v>0</v>
      </c>
      <c r="Z188" s="60">
        <f t="shared" si="415"/>
        <v>0</v>
      </c>
      <c r="AA188" s="60">
        <f t="shared" si="415"/>
        <v>0</v>
      </c>
      <c r="AB188" s="60">
        <f>SUM(U188:AA188)</f>
        <v>0</v>
      </c>
      <c r="AC188" s="60"/>
      <c r="AD188" s="60">
        <f t="shared" ref="AD188:AJ188" si="416">IF(AD187="Matin",1,IF(AD187="AM",1,0))</f>
        <v>0</v>
      </c>
      <c r="AE188" s="60">
        <f t="shared" si="416"/>
        <v>0</v>
      </c>
      <c r="AF188" s="60">
        <f t="shared" si="416"/>
        <v>0</v>
      </c>
      <c r="AG188" s="60">
        <f t="shared" si="416"/>
        <v>0</v>
      </c>
      <c r="AH188" s="60">
        <f t="shared" si="416"/>
        <v>0</v>
      </c>
      <c r="AI188" s="60">
        <f t="shared" si="416"/>
        <v>0</v>
      </c>
      <c r="AJ188" s="60">
        <f t="shared" si="416"/>
        <v>0</v>
      </c>
      <c r="AK188" s="60">
        <f>SUM(AD188:AJ188)</f>
        <v>0</v>
      </c>
      <c r="AL188" s="60"/>
      <c r="AM188" s="60">
        <f t="shared" ref="AM188:AS188" si="417">IF(AM187="Matin",1,IF(AM187="AM",1,0))</f>
        <v>0</v>
      </c>
      <c r="AN188" s="60">
        <f t="shared" si="417"/>
        <v>0</v>
      </c>
      <c r="AO188" s="60">
        <f t="shared" si="417"/>
        <v>0</v>
      </c>
      <c r="AP188" s="60">
        <f t="shared" si="417"/>
        <v>0</v>
      </c>
      <c r="AQ188" s="60">
        <f t="shared" si="417"/>
        <v>0</v>
      </c>
      <c r="AR188" s="60">
        <f t="shared" si="417"/>
        <v>0</v>
      </c>
      <c r="AS188" s="60">
        <f t="shared" si="417"/>
        <v>0</v>
      </c>
      <c r="AT188" s="60">
        <f>SUM(AM188:AS188)</f>
        <v>0</v>
      </c>
      <c r="AU188" s="60"/>
      <c r="AV188" s="60">
        <f t="shared" ref="AV188:AW188" si="418">IF(AV187="Matin",1,IF(AV187="AM",1,0))</f>
        <v>1</v>
      </c>
      <c r="AW188" s="60">
        <f t="shared" si="418"/>
        <v>0</v>
      </c>
      <c r="AX188" s="60">
        <f t="shared" ref="AX188:AX195" si="419">SUM(AV188:AW188)</f>
        <v>1</v>
      </c>
      <c r="AY188" s="60">
        <f>J188+S188+AB188+AK188+AT188+AX188</f>
        <v>1</v>
      </c>
    </row>
    <row r="189" spans="1:58" ht="15" customHeight="1" x14ac:dyDescent="0.25">
      <c r="A189" s="21" t="s">
        <v>4</v>
      </c>
      <c r="B189" s="81"/>
      <c r="C189" s="60">
        <f>IF(C190&gt;=1,1,0)</f>
        <v>0</v>
      </c>
      <c r="D189" s="60">
        <f>IF(D190&gt;=1,1,0)</f>
        <v>0</v>
      </c>
      <c r="E189" s="60">
        <f t="shared" ref="E189:I189" si="420">IF(E190&gt;=1,1,0)</f>
        <v>0</v>
      </c>
      <c r="F189" s="60">
        <f t="shared" si="420"/>
        <v>0</v>
      </c>
      <c r="G189" s="60">
        <f t="shared" si="420"/>
        <v>0</v>
      </c>
      <c r="H189" s="60">
        <f t="shared" si="420"/>
        <v>0</v>
      </c>
      <c r="I189" s="60">
        <f t="shared" si="420"/>
        <v>0</v>
      </c>
      <c r="J189" s="60">
        <f t="shared" ref="J189:J199" si="421">SUM(C189:I189)</f>
        <v>0</v>
      </c>
      <c r="K189" s="60"/>
      <c r="L189" s="60">
        <f>IF(L190&gt;=1,1,0)</f>
        <v>0</v>
      </c>
      <c r="M189" s="60">
        <f t="shared" ref="M189:R189" si="422">IF(M190&gt;=1,1,0)</f>
        <v>0</v>
      </c>
      <c r="N189" s="60">
        <f t="shared" si="422"/>
        <v>0</v>
      </c>
      <c r="O189" s="60">
        <f t="shared" si="422"/>
        <v>0</v>
      </c>
      <c r="P189" s="60">
        <f t="shared" si="422"/>
        <v>0</v>
      </c>
      <c r="Q189" s="60">
        <f t="shared" si="422"/>
        <v>0</v>
      </c>
      <c r="R189" s="60">
        <f t="shared" si="422"/>
        <v>0</v>
      </c>
      <c r="S189" s="60">
        <f t="shared" ref="S189:S199" si="423">SUM(L189:R189)</f>
        <v>0</v>
      </c>
      <c r="T189" s="60"/>
      <c r="U189" s="60">
        <f>IF(U190&gt;=1,1,0)</f>
        <v>0</v>
      </c>
      <c r="V189" s="60">
        <f t="shared" ref="V189:AA189" si="424">IF(V190&gt;=1,1,0)</f>
        <v>0</v>
      </c>
      <c r="W189" s="60">
        <f t="shared" si="424"/>
        <v>0</v>
      </c>
      <c r="X189" s="60">
        <f t="shared" si="424"/>
        <v>0</v>
      </c>
      <c r="Y189" s="60">
        <f t="shared" si="424"/>
        <v>0</v>
      </c>
      <c r="Z189" s="60">
        <f t="shared" si="424"/>
        <v>0</v>
      </c>
      <c r="AA189" s="60">
        <f t="shared" si="424"/>
        <v>0</v>
      </c>
      <c r="AB189" s="60">
        <f t="shared" ref="AB189:AB199" si="425">SUM(U189:AA189)</f>
        <v>0</v>
      </c>
      <c r="AC189" s="60"/>
      <c r="AD189" s="60">
        <f>IF(AD190&gt;=1,1,0)</f>
        <v>0</v>
      </c>
      <c r="AE189" s="60">
        <f t="shared" ref="AE189:AJ189" si="426">IF(AE190&gt;=1,1,0)</f>
        <v>0</v>
      </c>
      <c r="AF189" s="60">
        <f t="shared" si="426"/>
        <v>0</v>
      </c>
      <c r="AG189" s="60">
        <f t="shared" si="426"/>
        <v>0</v>
      </c>
      <c r="AH189" s="60">
        <f t="shared" si="426"/>
        <v>0</v>
      </c>
      <c r="AI189" s="60">
        <f t="shared" si="426"/>
        <v>0</v>
      </c>
      <c r="AJ189" s="60">
        <f t="shared" si="426"/>
        <v>0</v>
      </c>
      <c r="AK189" s="60">
        <f t="shared" ref="AK189:AK199" si="427">SUM(AD189:AJ189)</f>
        <v>0</v>
      </c>
      <c r="AL189" s="60"/>
      <c r="AM189" s="60">
        <f>IF(AM190&gt;=1,1,0)</f>
        <v>0</v>
      </c>
      <c r="AN189" s="60">
        <f t="shared" ref="AN189:AS189" si="428">IF(AN190&gt;=1,1,0)</f>
        <v>0</v>
      </c>
      <c r="AO189" s="60">
        <f t="shared" si="428"/>
        <v>0</v>
      </c>
      <c r="AP189" s="60">
        <f t="shared" si="428"/>
        <v>0</v>
      </c>
      <c r="AQ189" s="60">
        <f t="shared" si="428"/>
        <v>0</v>
      </c>
      <c r="AR189" s="60">
        <f t="shared" si="428"/>
        <v>0</v>
      </c>
      <c r="AS189" s="60">
        <f t="shared" si="428"/>
        <v>0</v>
      </c>
      <c r="AT189" s="60">
        <f t="shared" ref="AT189:AT199" si="429">SUM(AM189:AS189)</f>
        <v>0</v>
      </c>
      <c r="AU189" s="60"/>
      <c r="AV189" s="60">
        <f>IF(AV190&gt;=1,1,0)</f>
        <v>1</v>
      </c>
      <c r="AW189" s="60">
        <f t="shared" ref="AW189" si="430">IF(AW190&gt;=1,1,0)</f>
        <v>0</v>
      </c>
      <c r="AX189" s="60">
        <f t="shared" si="419"/>
        <v>1</v>
      </c>
      <c r="AY189" s="60">
        <f t="shared" ref="AY189:AY198" si="431">J189+S189+AB189+AK189+AT189+AX189</f>
        <v>1</v>
      </c>
    </row>
    <row r="190" spans="1:58" x14ac:dyDescent="0.25">
      <c r="A190" s="21" t="s">
        <v>3</v>
      </c>
      <c r="B190" s="81"/>
      <c r="C190" s="60">
        <f>IF(C187="Matin",8,IF(C187="AM",8,IF(C187="nuit",8,0)))</f>
        <v>0</v>
      </c>
      <c r="D190" s="60">
        <f t="shared" ref="D190:I190" si="432">IF(D187="Matin",8,IF(D187="AM",8,IF(D187="nuit",8,0)))</f>
        <v>0</v>
      </c>
      <c r="E190" s="60">
        <f t="shared" si="432"/>
        <v>0</v>
      </c>
      <c r="F190" s="60">
        <f t="shared" si="432"/>
        <v>0</v>
      </c>
      <c r="G190" s="60">
        <f t="shared" si="432"/>
        <v>0</v>
      </c>
      <c r="H190" s="60">
        <f t="shared" si="432"/>
        <v>0</v>
      </c>
      <c r="I190" s="60">
        <f t="shared" si="432"/>
        <v>0</v>
      </c>
      <c r="J190" s="60">
        <f t="shared" si="421"/>
        <v>0</v>
      </c>
      <c r="K190" s="60"/>
      <c r="L190" s="60">
        <f>IF(L187="Matin",8,IF(L187="AM",8,IF(L187="nuit",8,0)))</f>
        <v>0</v>
      </c>
      <c r="M190" s="60">
        <f t="shared" ref="M190:R190" si="433">IF(M187="Matin",8,IF(M187="AM",8,IF(M187="nuit",8,0)))</f>
        <v>0</v>
      </c>
      <c r="N190" s="60">
        <f t="shared" si="433"/>
        <v>0</v>
      </c>
      <c r="O190" s="60">
        <f t="shared" si="433"/>
        <v>0</v>
      </c>
      <c r="P190" s="60">
        <f t="shared" si="433"/>
        <v>0</v>
      </c>
      <c r="Q190" s="60">
        <f t="shared" si="433"/>
        <v>0</v>
      </c>
      <c r="R190" s="60">
        <f t="shared" si="433"/>
        <v>0</v>
      </c>
      <c r="S190" s="60">
        <f t="shared" si="423"/>
        <v>0</v>
      </c>
      <c r="T190" s="60"/>
      <c r="U190" s="60">
        <f>IF(U187="Matin",8,IF(U187="AM",8,IF(U187="nuit",8,0)))</f>
        <v>0</v>
      </c>
      <c r="V190" s="60">
        <f t="shared" ref="V190:AA190" si="434">IF(V187="Matin",8,IF(V187="AM",8,IF(V187="nuit",8,0)))</f>
        <v>0</v>
      </c>
      <c r="W190" s="60">
        <f t="shared" si="434"/>
        <v>0</v>
      </c>
      <c r="X190" s="60">
        <f t="shared" si="434"/>
        <v>0</v>
      </c>
      <c r="Y190" s="60">
        <f t="shared" si="434"/>
        <v>0</v>
      </c>
      <c r="Z190" s="60">
        <f t="shared" si="434"/>
        <v>0</v>
      </c>
      <c r="AA190" s="60">
        <f t="shared" si="434"/>
        <v>0</v>
      </c>
      <c r="AB190" s="60">
        <f t="shared" si="425"/>
        <v>0</v>
      </c>
      <c r="AC190" s="60"/>
      <c r="AD190" s="60">
        <f>IF(AD187="Matin",8,IF(AD187="AM",8,IF(AD187="nuit",8,0)))</f>
        <v>0</v>
      </c>
      <c r="AE190" s="60">
        <f t="shared" ref="AE190:AJ190" si="435">IF(AE187="Matin",8,IF(AE187="AM",8,IF(AE187="nuit",8,0)))</f>
        <v>0</v>
      </c>
      <c r="AF190" s="60">
        <f t="shared" si="435"/>
        <v>0</v>
      </c>
      <c r="AG190" s="60">
        <f t="shared" si="435"/>
        <v>0</v>
      </c>
      <c r="AH190" s="60">
        <f t="shared" si="435"/>
        <v>0</v>
      </c>
      <c r="AI190" s="60">
        <f t="shared" si="435"/>
        <v>0</v>
      </c>
      <c r="AJ190" s="60">
        <f t="shared" si="435"/>
        <v>0</v>
      </c>
      <c r="AK190" s="60">
        <f t="shared" si="427"/>
        <v>0</v>
      </c>
      <c r="AL190" s="60"/>
      <c r="AM190" s="60">
        <f>IF(AM187="Matin",8,IF(AM187="AM",8,IF(AM187="nuit",8,0)))</f>
        <v>0</v>
      </c>
      <c r="AN190" s="60">
        <f t="shared" ref="AN190:AS190" si="436">IF(AN187="Matin",8,IF(AN187="AM",8,IF(AN187="nuit",8,0)))</f>
        <v>0</v>
      </c>
      <c r="AO190" s="60">
        <f t="shared" si="436"/>
        <v>0</v>
      </c>
      <c r="AP190" s="60">
        <f t="shared" si="436"/>
        <v>0</v>
      </c>
      <c r="AQ190" s="60">
        <f t="shared" si="436"/>
        <v>0</v>
      </c>
      <c r="AR190" s="60">
        <f t="shared" si="436"/>
        <v>0</v>
      </c>
      <c r="AS190" s="60">
        <f t="shared" si="436"/>
        <v>0</v>
      </c>
      <c r="AT190" s="60">
        <f t="shared" si="429"/>
        <v>0</v>
      </c>
      <c r="AU190" s="60"/>
      <c r="AV190" s="60">
        <f>IF(AV187="Matin",8,IF(AV187="AM",8,IF(AV187="nuit",8,0)))</f>
        <v>8</v>
      </c>
      <c r="AW190" s="60">
        <f t="shared" ref="AW190" si="437">IF(AW187="Matin",8,IF(AW187="AM",8,IF(AW187="nuit",8,0)))</f>
        <v>0</v>
      </c>
      <c r="AX190" s="60">
        <f t="shared" si="419"/>
        <v>8</v>
      </c>
      <c r="AY190" s="60">
        <f t="shared" si="431"/>
        <v>8</v>
      </c>
    </row>
    <row r="191" spans="1:58" x14ac:dyDescent="0.25">
      <c r="A191" s="36" t="s">
        <v>20</v>
      </c>
      <c r="B191" s="82"/>
      <c r="C191" s="66">
        <f>IF(C185&lt;&gt;"Dim",IF(C190&gt;32,MIN(C190,35)-32,0),0)</f>
        <v>0</v>
      </c>
      <c r="D191" s="66">
        <f>IF(D185&lt;&gt;"Dim",IF(SUM($C190:D190)&gt;32,MIN(SUM($C190:D190),35)-32-SUM($C191:C191),0),0)</f>
        <v>0</v>
      </c>
      <c r="E191" s="66">
        <f>IF(E185&lt;&gt;"Dim",IF(SUM($C190:E190)&gt;32,MIN(SUM($C190:E190),35)-32-SUM($C191:D191),0),0)</f>
        <v>0</v>
      </c>
      <c r="F191" s="66">
        <f>IF(F185&lt;&gt;"Dim",IF(SUM($C190:F190)&gt;32,MIN(SUM($C190:F190),35)-32-SUM($C191:E191),0),0)</f>
        <v>0</v>
      </c>
      <c r="G191" s="66">
        <f>IF(G185&lt;&gt;"Dim",IF(SUM($C190:G190)&gt;32,MIN(SUM($C190:G190),35)-32-SUM($C191:F191),0),0)</f>
        <v>0</v>
      </c>
      <c r="H191" s="66">
        <f>IF(H185&lt;&gt;"Dim",IF(SUM($C190:H190)&gt;32,MIN(SUM($C190:H190),35)-32-SUM($C191:G191),0),0)</f>
        <v>0</v>
      </c>
      <c r="I191" s="66">
        <f>IF(I185&lt;&gt;"Dim",IF(SUM($C190:I190)&gt;32,MIN(SUM($C190:I190),35)-32-SUM($C191:H191),0),0)</f>
        <v>0</v>
      </c>
      <c r="J191" s="60">
        <f t="shared" si="421"/>
        <v>0</v>
      </c>
      <c r="K191" s="60"/>
      <c r="L191" s="66">
        <f>IF(L185&lt;&gt;"Dim",IF(L190&gt;32,MIN(L190,35)-32,0),0)</f>
        <v>0</v>
      </c>
      <c r="M191" s="66">
        <f>IF(M185&lt;&gt;"Dim",IF(SUM($L190:M190)&gt;32,MIN(SUM($L190:M190),35)-32-SUM($L191:L191),0),0)</f>
        <v>0</v>
      </c>
      <c r="N191" s="66">
        <f>IF(N185&lt;&gt;"Dim",IF(SUM($L190:N190)&gt;32,MIN(SUM($L190:N190),35)-32-SUM($L191:M191),0),0)</f>
        <v>0</v>
      </c>
      <c r="O191" s="66">
        <f>IF(O185&lt;&gt;"Dim",IF(SUM($L190:O190)&gt;32,MIN(SUM($L190:O190),35)-32-SUM($L191:N191),0),0)</f>
        <v>0</v>
      </c>
      <c r="P191" s="66">
        <f>IF(P185&lt;&gt;"Dim",IF(SUM($L190:P190)&gt;32,MIN(SUM($L190:P190),35)-32-SUM($L191:O191),0),0)</f>
        <v>0</v>
      </c>
      <c r="Q191" s="66">
        <f>IF(Q185&lt;&gt;"Dim",IF(SUM($L190:Q190)&gt;32,MIN(SUM($L190:Q190),35)-32-SUM($L191:P191),0),0)</f>
        <v>0</v>
      </c>
      <c r="R191" s="66">
        <f>IF(R185&lt;&gt;"Dim",IF(SUM($L190:R190)&gt;32,MIN(SUM($L190:R190),35)-32-SUM($L191:Q191),0),0)</f>
        <v>0</v>
      </c>
      <c r="S191" s="60">
        <f t="shared" si="423"/>
        <v>0</v>
      </c>
      <c r="T191" s="60"/>
      <c r="U191" s="66">
        <f>IF(U185&lt;&gt;"Dim",IF(U190&gt;32,MIN(U190,35)-32,0),0)</f>
        <v>0</v>
      </c>
      <c r="V191" s="66">
        <f>IF(V185&lt;&gt;"Dim",IF(SUM($U190:V190)&gt;32,MIN(SUM($U190:V190),35)-32-SUM($U191:U191),0),0)</f>
        <v>0</v>
      </c>
      <c r="W191" s="66">
        <f>IF(W185&lt;&gt;"Dim",IF(SUM($U190:W190)&gt;32,MIN(SUM($U190:W190),35)-32-SUM($U191:V191),0),0)</f>
        <v>0</v>
      </c>
      <c r="X191" s="66">
        <f>IF(X185&lt;&gt;"Dim",IF(SUM($U190:X190)&gt;32,MIN(SUM($U190:X190),35)-32-SUM($U191:W191),0),0)</f>
        <v>0</v>
      </c>
      <c r="Y191" s="66">
        <f>IF(Y185&lt;&gt;"Dim",IF(SUM($U190:Y190)&gt;32,MIN(SUM($U190:Y190),35)-32-SUM($U191:X191),0),0)</f>
        <v>0</v>
      </c>
      <c r="Z191" s="66">
        <f>IF(Z185&lt;&gt;"Dim",IF(SUM($U190:Z190)&gt;32,MIN(SUM($U190:Z190),35)-32-SUM($U191:Y191),0),0)</f>
        <v>0</v>
      </c>
      <c r="AA191" s="66">
        <f>IF(AA185&lt;&gt;"Dim",IF(SUM($U190:AA190)&gt;32,MIN(SUM($U190:AA190),35)-32-SUM($U191:Z191),0),0)</f>
        <v>0</v>
      </c>
      <c r="AB191" s="60">
        <f t="shared" si="425"/>
        <v>0</v>
      </c>
      <c r="AC191" s="60"/>
      <c r="AD191" s="66">
        <f>IF(AD185&lt;&gt;"Dim",IF(AD190&gt;32,MIN(AD190,35)-32,0),0)</f>
        <v>0</v>
      </c>
      <c r="AE191" s="66">
        <f>IF(AE185&lt;&gt;"Dim",IF(SUM($AD190:AE190)&gt;32,MIN(SUM($AD190:AE190),35)-32-SUM($AD191:AD191),0),0)</f>
        <v>0</v>
      </c>
      <c r="AF191" s="66">
        <f>IF(AF185&lt;&gt;"Dim",IF(SUM($AD190:AF190)&gt;32,MIN(SUM($AD190:AF190),35)-32-SUM($AD191:AE191),0),0)</f>
        <v>0</v>
      </c>
      <c r="AG191" s="66">
        <f>IF(AG185&lt;&gt;"Dim",IF(SUM($AD190:AG190)&gt;32,MIN(SUM($AD190:AG190),35)-32-SUM($AD191:AF191),0),0)</f>
        <v>0</v>
      </c>
      <c r="AH191" s="66">
        <f>IF(AH185&lt;&gt;"Dim",IF(SUM($AD190:AH190)&gt;32,MIN(SUM($AD190:AH190),35)-32-SUM($AD191:AG191),0),0)</f>
        <v>0</v>
      </c>
      <c r="AI191" s="66">
        <f>IF(AI185&lt;&gt;"Dim",IF(SUM($AD190:AI190)&gt;32,MIN(SUM($AD190:AI190),35)-32-SUM($AD191:AH191),0),0)</f>
        <v>0</v>
      </c>
      <c r="AJ191" s="66">
        <f>IF(AJ185&lt;&gt;"Dim",IF(SUM($AD190:AJ190)&gt;32,MIN(SUM($AD190:AJ190),35)-32-SUM($AD191:AI191),0),0)</f>
        <v>0</v>
      </c>
      <c r="AK191" s="60">
        <f t="shared" si="427"/>
        <v>0</v>
      </c>
      <c r="AL191" s="60"/>
      <c r="AM191" s="66">
        <f>IF(AM185&lt;&gt;"Dim",IF(AM190&gt;32,MIN(AM190,35)-32,0),0)</f>
        <v>0</v>
      </c>
      <c r="AN191" s="66">
        <f>IF(AN185&lt;&gt;"Dim",IF(SUM($AM190:AN190)&gt;32,MIN(SUM($AM190:AN190),35)-32-SUM($AM191:AM191),0),0)</f>
        <v>0</v>
      </c>
      <c r="AO191" s="66">
        <f>IF(AO185&lt;&gt;"Dim",IF(SUM($AM190:AO190)&gt;32,MIN(SUM($AM190:AO190),35)-32-SUM($AM191:AN191),0),0)</f>
        <v>0</v>
      </c>
      <c r="AP191" s="66">
        <f>IF(AP185&lt;&gt;"Dim",IF(SUM($AM190:AP190)&gt;32,MIN(SUM($AM190:AP190),35)-32-SUM($AM191:AO191),0),0)</f>
        <v>0</v>
      </c>
      <c r="AQ191" s="66">
        <f>IF(AQ185&lt;&gt;"Dim",IF(SUM($AM190:AQ190)&gt;32,MIN(SUM($AM190:AQ190),35)-32-SUM($AM191:AP191),0),0)</f>
        <v>0</v>
      </c>
      <c r="AR191" s="66">
        <f>IF(AR185&lt;&gt;"Dim",IF(SUM($AM190:AR190)&gt;32,MIN(SUM($AM190:AR190),35)-32-SUM($AM191:AQ191),0),0)</f>
        <v>0</v>
      </c>
      <c r="AS191" s="66">
        <f>IF(AS185&lt;&gt;"Dim",IF(SUM($AM190:AS190)&gt;32,MIN(SUM($AM190:AS190),35)-32-SUM($AM191:AR191),0),0)</f>
        <v>0</v>
      </c>
      <c r="AT191" s="60">
        <f t="shared" si="429"/>
        <v>0</v>
      </c>
      <c r="AU191" s="60"/>
      <c r="AV191" s="66">
        <f>IF(AV185&lt;&gt;"Dim",IF(AV190&gt;32,MIN(AV190,35)-32,0),0)</f>
        <v>0</v>
      </c>
      <c r="AW191" s="66">
        <f>IF(AW185&lt;&gt;"Dim",IF(SUM($AV190:AW190)&gt;32,MIN(SUM($AV190:AW190),35)-32-SUM($AV191:AV191),0),0)</f>
        <v>0</v>
      </c>
      <c r="AX191" s="60">
        <f t="shared" si="419"/>
        <v>0</v>
      </c>
      <c r="AY191" s="60">
        <f t="shared" si="431"/>
        <v>0</v>
      </c>
    </row>
    <row r="192" spans="1:58" x14ac:dyDescent="0.25">
      <c r="A192" s="21" t="s">
        <v>6</v>
      </c>
      <c r="B192" s="81"/>
      <c r="C192" s="66">
        <f>IF(C185&lt;&gt;"Dim",IF(C190&gt;35,(MIN(C190,43)-35),0),0)</f>
        <v>0</v>
      </c>
      <c r="D192" s="66">
        <f>IF(D185&lt;&gt;"Dim",IF(SUM($C190:D190)&gt;35,(MIN(SUM($C190:D190),43)-35-SUM($C192:C192)),0),0)</f>
        <v>0</v>
      </c>
      <c r="E192" s="66">
        <f>IF(E185&lt;&gt;"Dim",IF(SUM($C190:E190)&gt;35,(MIN(SUM($C190:E190),43)-35-SUM($C192:D192)),0),0)</f>
        <v>0</v>
      </c>
      <c r="F192" s="66">
        <f>IF(F185&lt;&gt;"Dim",IF(SUM($C190:F190)&gt;35,(MIN(SUM($C190:F190),43)-35-SUM($C192:E192)),0),0)</f>
        <v>0</v>
      </c>
      <c r="G192" s="66">
        <f>IF(G185&lt;&gt;"Dim",IF(SUM($C190:G190)&gt;35,(MIN(SUM($C190:G190),43)-35-SUM($C192:F192)),0),0)</f>
        <v>0</v>
      </c>
      <c r="H192" s="66">
        <f>IF(H185&lt;&gt;"Dim",IF(SUM($C190:H190)&gt;35,(MIN(SUM($C190:H190),43)-35-SUM($C192:G192)),0),0)</f>
        <v>0</v>
      </c>
      <c r="I192" s="66">
        <f>IF(I185&lt;&gt;"Dim",IF(SUM($C190:I190)&gt;35,(MIN(SUM($C190:I190),43)-35-SUM($C192:H192)),0),0)</f>
        <v>0</v>
      </c>
      <c r="J192" s="60">
        <f t="shared" si="421"/>
        <v>0</v>
      </c>
      <c r="K192" s="60"/>
      <c r="L192" s="66">
        <f>IF(L185&lt;&gt;"Dim",IF(L190&gt;35,(MIN(L190,43)-35),0),0)</f>
        <v>0</v>
      </c>
      <c r="M192" s="66">
        <f>IF(M185&lt;&gt;"Dim",IF(SUM($L190:M190)&gt;35,(MIN(SUM($L190:M190),43)-35-SUM($L192:L192)),0),0)</f>
        <v>0</v>
      </c>
      <c r="N192" s="66">
        <f>IF(N185&lt;&gt;"Dim",IF(SUM($L190:N190)&gt;35,(MIN(SUM($L190:N190),43)-35-SUM($L192:M192)),0),0)</f>
        <v>0</v>
      </c>
      <c r="O192" s="66">
        <f>IF(O185&lt;&gt;"Dim",IF(SUM($L190:O190)&gt;35,(MIN(SUM($L190:O190),43)-35-SUM($L192:N192)),0),0)</f>
        <v>0</v>
      </c>
      <c r="P192" s="66">
        <f>IF(P185&lt;&gt;"Dim",IF(SUM($L190:P190)&gt;35,(MIN(SUM($L190:P190),43)-35-SUM($L192:O192)),0),0)</f>
        <v>0</v>
      </c>
      <c r="Q192" s="66">
        <f>IF(Q185&lt;&gt;"Dim",IF(SUM($L190:Q190)&gt;35,(MIN(SUM($L190:Q190),43)-35-SUM($L192:P192)),0),0)</f>
        <v>0</v>
      </c>
      <c r="R192" s="66">
        <f>IF(R185&lt;&gt;"Dim",IF(SUM($L190:R190)&gt;35,(MIN(SUM($L190:R190),43)-35-SUM($L192:Q192)),0),0)</f>
        <v>0</v>
      </c>
      <c r="S192" s="60">
        <f t="shared" si="423"/>
        <v>0</v>
      </c>
      <c r="T192" s="60"/>
      <c r="U192" s="66">
        <f>IF(U185&lt;&gt;"Dim",IF(U190&gt;35,(MIN(U190,43)-35),0),0)</f>
        <v>0</v>
      </c>
      <c r="V192" s="66">
        <f>IF(V185&lt;&gt;"Dim",IF(SUM($U190:V190)&gt;35,(MIN(SUM($U190:V190),43)-35-SUM($U192:U192)),0),0)</f>
        <v>0</v>
      </c>
      <c r="W192" s="66">
        <f>IF(W185&lt;&gt;"Dim",IF(SUM($U190:W190)&gt;35,(MIN(SUM($U190:W190),43)-35-SUM($U192:V192)),0),0)</f>
        <v>0</v>
      </c>
      <c r="X192" s="66">
        <f>IF(X185&lt;&gt;"Dim",IF(SUM($U190:X190)&gt;35,(MIN(SUM($U190:X190),43)-35-SUM($U192:W192)),0),0)</f>
        <v>0</v>
      </c>
      <c r="Y192" s="66">
        <f>IF(Y185&lt;&gt;"Dim",IF(SUM($U190:Y190)&gt;35,(MIN(SUM($U190:Y190),43)-35-SUM($U192:X192)),0),0)</f>
        <v>0</v>
      </c>
      <c r="Z192" s="66">
        <f>IF(Z185&lt;&gt;"Dim",IF(SUM($U190:Z190)&gt;35,(MIN(SUM($U190:Z190),43)-35-SUM($U192:Y192)),0),0)</f>
        <v>0</v>
      </c>
      <c r="AA192" s="66">
        <f>IF(AA185&lt;&gt;"Dim",IF(SUM($U190:AA190)&gt;35,(MIN(SUM($U190:AA190),43)-35-SUM($U192:Z192)),0),0)</f>
        <v>0</v>
      </c>
      <c r="AB192" s="60">
        <f t="shared" si="425"/>
        <v>0</v>
      </c>
      <c r="AC192" s="60"/>
      <c r="AD192" s="66">
        <f>IF(AD185&lt;&gt;"Dim",IF(AD190&gt;35,(MIN(AD190,43)-35),0),0)</f>
        <v>0</v>
      </c>
      <c r="AE192" s="66">
        <f>IF(AE185&lt;&gt;"Dim",IF(SUM($AD190:AE190)&gt;35,(MIN(SUM($AD190:AE190),43)-35-SUM($AD192:AD192)),0),0)</f>
        <v>0</v>
      </c>
      <c r="AF192" s="66">
        <f>IF(AF185&lt;&gt;"Dim",IF(SUM($AD190:AF190)&gt;35,(MIN(SUM($AD190:AF190),43)-35-SUM($AD192:AE192)),0),0)</f>
        <v>0</v>
      </c>
      <c r="AG192" s="66">
        <f>IF(AG185&lt;&gt;"Dim",IF(SUM($AD190:AG190)&gt;35,(MIN(SUM($AD190:AG190),43)-35-SUM($AD192:AF192)),0),0)</f>
        <v>0</v>
      </c>
      <c r="AH192" s="66">
        <f>IF(AH185&lt;&gt;"Dim",IF(SUM($AD190:AH190)&gt;35,(MIN(SUM($AD190:AH190),43)-35-SUM($AD192:AG192)),0),0)</f>
        <v>0</v>
      </c>
      <c r="AI192" s="66">
        <f>IF(AI185&lt;&gt;"Dim",IF(SUM($AD190:AI190)&gt;35,(MIN(SUM($AD190:AI190),43)-35-SUM($AD192:AH192)),0),0)</f>
        <v>0</v>
      </c>
      <c r="AJ192" s="66">
        <f>IF(AJ185&lt;&gt;"Dim",IF(SUM($AD190:AJ190)&gt;35,(MIN(SUM($AD190:AJ190),43)-35-SUM($AD192:AI192)),0),0)</f>
        <v>0</v>
      </c>
      <c r="AK192" s="60">
        <f t="shared" si="427"/>
        <v>0</v>
      </c>
      <c r="AL192" s="60"/>
      <c r="AM192" s="66">
        <f>IF(AM185&lt;&gt;"Dim",IF(AM190&gt;35,(MIN(AM190,43)-35),0),0)</f>
        <v>0</v>
      </c>
      <c r="AN192" s="66">
        <f>IF(AN185&lt;&gt;"Dim",IF(SUM($AM190:AN190)&gt;35,(MIN(SUM($AM190:AN190),43)-35-SUM($AM192:AM192)),0),0)</f>
        <v>0</v>
      </c>
      <c r="AO192" s="66">
        <f>IF(AO185&lt;&gt;"Dim",IF(SUM($AM190:AO190)&gt;35,(MIN(SUM($AM190:AO190),43)-35-SUM($AM192:AN192)),0),0)</f>
        <v>0</v>
      </c>
      <c r="AP192" s="66">
        <f>IF(AP185&lt;&gt;"Dim",IF(SUM($AM190:AP190)&gt;35,(MIN(SUM($AM190:AP190),43)-35-SUM($AM192:AO192)),0),0)</f>
        <v>0</v>
      </c>
      <c r="AQ192" s="66">
        <f>IF(AQ185&lt;&gt;"Dim",IF(SUM($AM190:AQ190)&gt;35,(MIN(SUM($AM190:AQ190),43)-35-SUM($AM192:AP192)),0),0)</f>
        <v>0</v>
      </c>
      <c r="AR192" s="66">
        <f>IF(AR185&lt;&gt;"Dim",IF(SUM($AM190:AR190)&gt;35,(MIN(SUM($AM190:AR190),43)-35-SUM($AM192:AQ192)),0),0)</f>
        <v>0</v>
      </c>
      <c r="AS192" s="66">
        <f>IF(AS185&lt;&gt;"Dim",IF(SUM($AM190:AS190)&gt;35,(MIN(SUM($AM190:AS190),43)-35-SUM($AM192:AR192)),0),0)</f>
        <v>0</v>
      </c>
      <c r="AT192" s="60">
        <f t="shared" si="429"/>
        <v>0</v>
      </c>
      <c r="AU192" s="60"/>
      <c r="AV192" s="66">
        <f>IF(AV185&lt;&gt;"Dim",IF(AV190&gt;35,(MIN(AV190,43)-35),0),0)</f>
        <v>0</v>
      </c>
      <c r="AW192" s="66">
        <f>IF(AW185&lt;&gt;"Dim",IF(SUM($AV190:AW190)&gt;35,(MIN(SUM($AV190:AW190),43)-35-SUM($AV192:AV192)),0),0)</f>
        <v>0</v>
      </c>
      <c r="AX192" s="60">
        <f t="shared" si="419"/>
        <v>0</v>
      </c>
      <c r="AY192" s="60">
        <f t="shared" si="431"/>
        <v>0</v>
      </c>
    </row>
    <row r="193" spans="1:58" x14ac:dyDescent="0.25">
      <c r="A193" s="21" t="s">
        <v>5</v>
      </c>
      <c r="B193" s="81"/>
      <c r="C193" s="66">
        <f>IF(C185&lt;&gt;"Dim",IF(C190&gt;43,(MIN(C190,48)-43),0),0)</f>
        <v>0</v>
      </c>
      <c r="D193" s="66">
        <f>IF(D185&lt;&gt;"Dim",IF(SUM($C190:D190)&gt;43,(MIN(SUM($C190:D190),48)-43-SUM($C193:C193)),0),0)</f>
        <v>0</v>
      </c>
      <c r="E193" s="66">
        <f>IF(E185&lt;&gt;"Dim",IF(SUM($C190:E190)&gt;43,(MIN(SUM($C190:E190),48)-43-SUM($C193:D193)),0),0)</f>
        <v>0</v>
      </c>
      <c r="F193" s="66">
        <f>IF(F185&lt;&gt;"Dim",IF(SUM($C190:F190)&gt;43,(MIN(SUM($C190:F190),48)-43-SUM($C193:E193)),0),0)</f>
        <v>0</v>
      </c>
      <c r="G193" s="66">
        <f>IF(G185&lt;&gt;"Dim",IF(SUM($C190:G190)&gt;43,(MIN(SUM($C190:G190),48)-43-SUM($C193:F193)),0),0)</f>
        <v>0</v>
      </c>
      <c r="H193" s="66">
        <f>IF(H185&lt;&gt;"Dim",IF(SUM($C190:H190)&gt;43,(MIN(SUM($C190:H190),48)-43-SUM($C193:G193)),0),0)</f>
        <v>0</v>
      </c>
      <c r="I193" s="66">
        <f>IF(I185&lt;&gt;"Dim",IF(SUM($C190:I190)&gt;43,(MIN(SUM($C190:I190),48)-43-SUM($C193:H193)),0),0)</f>
        <v>0</v>
      </c>
      <c r="J193" s="60">
        <f t="shared" si="421"/>
        <v>0</v>
      </c>
      <c r="K193" s="60"/>
      <c r="L193" s="66">
        <f>IF(L185&lt;&gt;"Dim",IF(L190&gt;43,(MIN(L190,48)-43),0),0)</f>
        <v>0</v>
      </c>
      <c r="M193" s="66">
        <f>IF(M185&lt;&gt;"Dim",IF(SUM($L190:M190)&gt;43,(MIN(SUM($L190:M190),48)-43-SUM($L193:L193)),0),0)</f>
        <v>0</v>
      </c>
      <c r="N193" s="66">
        <f>IF(N185&lt;&gt;"Dim",IF(SUM($L190:N190)&gt;43,(MIN(SUM($L190:N190),48)-43-SUM($L193:M193)),0),0)</f>
        <v>0</v>
      </c>
      <c r="O193" s="66">
        <f>IF(O185&lt;&gt;"Dim",IF(SUM($L190:O190)&gt;43,(MIN(SUM($L190:O190),48)-43-SUM($L193:N193)),0),0)</f>
        <v>0</v>
      </c>
      <c r="P193" s="66">
        <f>IF(P185&lt;&gt;"Dim",IF(SUM($L190:P190)&gt;43,(MIN(SUM($L190:P190),48)-43-SUM($L193:O193)),0),0)</f>
        <v>0</v>
      </c>
      <c r="Q193" s="66">
        <f>IF(Q185&lt;&gt;"Dim",IF(SUM($L190:Q190)&gt;43,(MIN(SUM($L190:Q190),48)-43-SUM($L193:P193)),0),0)</f>
        <v>0</v>
      </c>
      <c r="R193" s="66">
        <f>IF(R185&lt;&gt;"Dim",IF(SUM($L190:R190)&gt;43,(MIN(SUM($L190:R190),48)-43-SUM($L193:Q193)),0),0)</f>
        <v>0</v>
      </c>
      <c r="S193" s="60">
        <f t="shared" si="423"/>
        <v>0</v>
      </c>
      <c r="T193" s="60"/>
      <c r="U193" s="66">
        <f>IF(U185&lt;&gt;"Dim",IF(U190&gt;43,(MIN(U190,48)-43),0),0)</f>
        <v>0</v>
      </c>
      <c r="V193" s="66">
        <f>IF(V185&lt;&gt;"Dim",IF(SUM($U190:V190)&gt;43,(MIN(SUM($U190:V190),48)-43-SUM($U193:U193)),0),0)</f>
        <v>0</v>
      </c>
      <c r="W193" s="66">
        <f>IF(W185&lt;&gt;"Dim",IF(SUM($U190:W190)&gt;43,(MIN(SUM($U190:W190),48)-43-SUM($U193:V193)),0),0)</f>
        <v>0</v>
      </c>
      <c r="X193" s="66">
        <f>IF(X185&lt;&gt;"Dim",IF(SUM($U190:X190)&gt;43,(MIN(SUM($U190:X190),48)-43-SUM($U193:W193)),0),0)</f>
        <v>0</v>
      </c>
      <c r="Y193" s="66">
        <f>IF(Y185&lt;&gt;"Dim",IF(SUM($U190:Y190)&gt;43,(MIN(SUM($U190:Y190),48)-43-SUM($U193:X193)),0),0)</f>
        <v>0</v>
      </c>
      <c r="Z193" s="66">
        <f>IF(Z185&lt;&gt;"Dim",IF(SUM($U190:Z190)&gt;43,(MIN(SUM($U190:Z190),48)-43-SUM($U193:Y193)),0),0)</f>
        <v>0</v>
      </c>
      <c r="AA193" s="66">
        <f>IF(AA185&lt;&gt;"Dim",IF(SUM($U190:AA190)&gt;43,(MIN(SUM($U190:AA190),48)-43-SUM($U193:Z193)),0),0)</f>
        <v>0</v>
      </c>
      <c r="AB193" s="60">
        <f t="shared" si="425"/>
        <v>0</v>
      </c>
      <c r="AC193" s="60"/>
      <c r="AD193" s="66">
        <f>IF(AD185&lt;&gt;"Dim",IF(AD190&gt;43,(MIN(AD190,48)-43),0),0)</f>
        <v>0</v>
      </c>
      <c r="AE193" s="66">
        <f>IF(AE185&lt;&gt;"Dim",IF(SUM($AD190:AE190)&gt;43,(MIN(SUM($AD190:AE190),48)-43-SUM($AD193:AD193)),0),0)</f>
        <v>0</v>
      </c>
      <c r="AF193" s="66">
        <f>IF(AF185&lt;&gt;"Dim",IF(SUM($AD190:AF190)&gt;43,(MIN(SUM($AD190:AF190),48)-43-SUM($AD193:AE193)),0),0)</f>
        <v>0</v>
      </c>
      <c r="AG193" s="66">
        <f>IF(AG185&lt;&gt;"Dim",IF(SUM($AD190:AG190)&gt;43,(MIN(SUM($AD190:AG190),48)-43-SUM($AD193:AF193)),0),0)</f>
        <v>0</v>
      </c>
      <c r="AH193" s="66">
        <f>IF(AH185&lt;&gt;"Dim",IF(SUM($AD190:AH190)&gt;43,(MIN(SUM($AD190:AH190),48)-43-SUM($AD193:AG193)),0),0)</f>
        <v>0</v>
      </c>
      <c r="AI193" s="66">
        <f>IF(AI185&lt;&gt;"Dim",IF(SUM($AD190:AI190)&gt;43,(MIN(SUM($AD190:AI190),48)-43-SUM($AD193:AH193)),0),0)</f>
        <v>0</v>
      </c>
      <c r="AJ193" s="66">
        <f>IF(AJ185&lt;&gt;"Dim",IF(SUM($AD190:AJ190)&gt;43,(MIN(SUM($AD190:AJ190),48)-43-SUM($AD193:AI193)),0),0)</f>
        <v>0</v>
      </c>
      <c r="AK193" s="60">
        <f t="shared" si="427"/>
        <v>0</v>
      </c>
      <c r="AL193" s="60"/>
      <c r="AM193" s="66">
        <f>IF(AM185&lt;&gt;"Dim",IF(AM190&gt;43,(MIN(AM190,48)-43),0),0)</f>
        <v>0</v>
      </c>
      <c r="AN193" s="66">
        <f>IF(AN185&lt;&gt;"Dim",IF(SUM($AM190:AN190)&gt;43,(MIN(SUM($AM190:AN190),48)-43-SUM($AM193:AM193)),0),0)</f>
        <v>0</v>
      </c>
      <c r="AO193" s="66">
        <f>IF(AO185&lt;&gt;"Dim",IF(SUM($AM190:AO190)&gt;43,(MIN(SUM($AM190:AO190),48)-43-SUM($AM193:AN193)),0),0)</f>
        <v>0</v>
      </c>
      <c r="AP193" s="66">
        <f>IF(AP185&lt;&gt;"Dim",IF(SUM($AM190:AP190)&gt;43,(MIN(SUM($AM190:AP190),48)-43-SUM($AM193:AO193)),0),0)</f>
        <v>0</v>
      </c>
      <c r="AQ193" s="66">
        <f>IF(AQ185&lt;&gt;"Dim",IF(SUM($AM190:AQ190)&gt;43,(MIN(SUM($AM190:AQ190),48)-43-SUM($AM193:AP193)),0),0)</f>
        <v>0</v>
      </c>
      <c r="AR193" s="66">
        <f>IF(AR185&lt;&gt;"Dim",IF(SUM($AM190:AR190)&gt;43,(MIN(SUM($AM190:AR190),48)-43-SUM($AM193:AQ193)),0),0)</f>
        <v>0</v>
      </c>
      <c r="AS193" s="66">
        <f>IF(AS185&lt;&gt;"Dim",IF(SUM($AM190:AS190)&gt;43,(MIN(SUM($AM190:AS190),48)-43-SUM($AM193:AR193)),0),0)</f>
        <v>0</v>
      </c>
      <c r="AT193" s="60">
        <f t="shared" si="429"/>
        <v>0</v>
      </c>
      <c r="AU193" s="60"/>
      <c r="AV193" s="66">
        <f>IF(AV185&lt;&gt;"Dim",IF(AV190&gt;43,(MIN(AV190,48)-43),0),0)</f>
        <v>0</v>
      </c>
      <c r="AW193" s="66">
        <f>IF(AW185&lt;&gt;"Dim",IF(SUM($AV190:AW190)&gt;43,(MIN(SUM($AV190:AW190),48)-43-SUM($AV193:AV193)),0),0)</f>
        <v>0</v>
      </c>
      <c r="AX193" s="60">
        <f t="shared" si="419"/>
        <v>0</v>
      </c>
      <c r="AY193" s="60">
        <f t="shared" si="431"/>
        <v>0</v>
      </c>
    </row>
    <row r="194" spans="1:58" x14ac:dyDescent="0.25">
      <c r="A194" s="21" t="s">
        <v>7</v>
      </c>
      <c r="B194" s="81"/>
      <c r="C194" s="66">
        <f>IF(C185="Dim",C190,IF(C200="ferie",C190,0))</f>
        <v>0</v>
      </c>
      <c r="D194" s="66">
        <f t="shared" ref="D194:I194" si="438">IF(D185="Dim",D190,IF(D200="ferie",D190,0))</f>
        <v>0</v>
      </c>
      <c r="E194" s="66">
        <f t="shared" si="438"/>
        <v>0</v>
      </c>
      <c r="F194" s="66">
        <f t="shared" si="438"/>
        <v>0</v>
      </c>
      <c r="G194" s="66">
        <f t="shared" si="438"/>
        <v>0</v>
      </c>
      <c r="H194" s="66">
        <f t="shared" si="438"/>
        <v>0</v>
      </c>
      <c r="I194" s="66">
        <f t="shared" si="438"/>
        <v>0</v>
      </c>
      <c r="J194" s="60">
        <f t="shared" si="421"/>
        <v>0</v>
      </c>
      <c r="K194" s="60"/>
      <c r="L194" s="66">
        <f>IF(L185="Dim",L190,IF(L200="ferie",L190,0))</f>
        <v>0</v>
      </c>
      <c r="M194" s="66">
        <f t="shared" ref="M194:R194" si="439">IF(M185="Dim",M190,IF(M200="ferie",M190,0))</f>
        <v>0</v>
      </c>
      <c r="N194" s="66">
        <f t="shared" si="439"/>
        <v>0</v>
      </c>
      <c r="O194" s="66">
        <f t="shared" si="439"/>
        <v>0</v>
      </c>
      <c r="P194" s="66">
        <f t="shared" si="439"/>
        <v>0</v>
      </c>
      <c r="Q194" s="66">
        <f>IF(Q185="Dim",Q190,IF(Q200="ferie",Q190,0))</f>
        <v>0</v>
      </c>
      <c r="R194" s="66">
        <f t="shared" si="439"/>
        <v>0</v>
      </c>
      <c r="S194" s="60">
        <f t="shared" si="423"/>
        <v>0</v>
      </c>
      <c r="T194" s="60"/>
      <c r="U194" s="66">
        <f>IF(U185="Dim",U190,IF(U200="ferie",U190,0))</f>
        <v>0</v>
      </c>
      <c r="V194" s="66">
        <f t="shared" ref="V194:AA194" si="440">IF(V185="Dim",V190,IF(V200="ferie",V190,0))</f>
        <v>0</v>
      </c>
      <c r="W194" s="66">
        <f t="shared" si="440"/>
        <v>0</v>
      </c>
      <c r="X194" s="66">
        <f t="shared" si="440"/>
        <v>0</v>
      </c>
      <c r="Y194" s="66">
        <f t="shared" si="440"/>
        <v>0</v>
      </c>
      <c r="Z194" s="66">
        <f t="shared" si="440"/>
        <v>0</v>
      </c>
      <c r="AA194" s="66">
        <f t="shared" si="440"/>
        <v>0</v>
      </c>
      <c r="AB194" s="60">
        <f t="shared" si="425"/>
        <v>0</v>
      </c>
      <c r="AC194" s="60"/>
      <c r="AD194" s="66">
        <f>IF(AD185="Dim",AD190,IF(AD200="ferie",AD190,0))</f>
        <v>0</v>
      </c>
      <c r="AE194" s="66">
        <f t="shared" ref="AE194:AJ194" si="441">IF(AE185="Dim",AE190,IF(AE200="ferie",AE190,0))</f>
        <v>0</v>
      </c>
      <c r="AF194" s="66">
        <f t="shared" si="441"/>
        <v>0</v>
      </c>
      <c r="AG194" s="66">
        <f t="shared" si="441"/>
        <v>0</v>
      </c>
      <c r="AH194" s="66">
        <f t="shared" si="441"/>
        <v>0</v>
      </c>
      <c r="AI194" s="66">
        <f t="shared" si="441"/>
        <v>0</v>
      </c>
      <c r="AJ194" s="66">
        <f t="shared" si="441"/>
        <v>0</v>
      </c>
      <c r="AK194" s="60">
        <f t="shared" si="427"/>
        <v>0</v>
      </c>
      <c r="AL194" s="60"/>
      <c r="AM194" s="66">
        <f>IF(AM185="Dim",AM190,IF(AM200="ferie",AM190,0))</f>
        <v>0</v>
      </c>
      <c r="AN194" s="66">
        <f t="shared" ref="AN194:AW194" si="442">IF(AN185="Dim",AN190,IF(AN200="ferie",AN190,0))</f>
        <v>0</v>
      </c>
      <c r="AO194" s="66">
        <f t="shared" si="442"/>
        <v>0</v>
      </c>
      <c r="AP194" s="66">
        <f t="shared" si="442"/>
        <v>0</v>
      </c>
      <c r="AQ194" s="66">
        <f t="shared" si="442"/>
        <v>0</v>
      </c>
      <c r="AR194" s="66">
        <f t="shared" si="442"/>
        <v>0</v>
      </c>
      <c r="AS194" s="66">
        <f t="shared" si="442"/>
        <v>0</v>
      </c>
      <c r="AT194" s="60">
        <f>SUM(AM194:AS194)</f>
        <v>0</v>
      </c>
      <c r="AU194" s="60"/>
      <c r="AV194" s="66">
        <f>IF(AV185="Dim",AV190,IF(AV200="ferie",AV190,0))</f>
        <v>0</v>
      </c>
      <c r="AW194" s="66">
        <f t="shared" si="442"/>
        <v>0</v>
      </c>
      <c r="AX194" s="60">
        <f t="shared" si="419"/>
        <v>0</v>
      </c>
      <c r="AY194" s="60">
        <f t="shared" si="431"/>
        <v>0</v>
      </c>
    </row>
    <row r="195" spans="1:58" x14ac:dyDescent="0.25">
      <c r="A195" s="21" t="s">
        <v>8</v>
      </c>
      <c r="B195" s="81"/>
      <c r="C195" s="31"/>
      <c r="D195" s="31"/>
      <c r="E195" s="31"/>
      <c r="F195" s="31"/>
      <c r="G195" s="31"/>
      <c r="H195" s="31"/>
      <c r="I195" s="31"/>
      <c r="J195" s="60">
        <f t="shared" si="421"/>
        <v>0</v>
      </c>
      <c r="K195" s="60"/>
      <c r="L195" s="31"/>
      <c r="M195" s="31"/>
      <c r="N195" s="31"/>
      <c r="O195" s="31"/>
      <c r="P195" s="31"/>
      <c r="Q195" s="31"/>
      <c r="R195" s="31"/>
      <c r="S195" s="60">
        <f t="shared" si="423"/>
        <v>0</v>
      </c>
      <c r="T195" s="60"/>
      <c r="U195" s="31"/>
      <c r="V195" s="31"/>
      <c r="W195" s="31"/>
      <c r="X195" s="31"/>
      <c r="Y195" s="31"/>
      <c r="Z195" s="31"/>
      <c r="AA195" s="31"/>
      <c r="AB195" s="60">
        <f t="shared" si="425"/>
        <v>0</v>
      </c>
      <c r="AC195" s="60"/>
      <c r="AD195" s="31"/>
      <c r="AE195" s="31"/>
      <c r="AF195" s="31"/>
      <c r="AG195" s="31"/>
      <c r="AH195" s="31"/>
      <c r="AI195" s="31"/>
      <c r="AJ195" s="31"/>
      <c r="AK195" s="60">
        <f t="shared" si="427"/>
        <v>0</v>
      </c>
      <c r="AL195" s="60"/>
      <c r="AM195" s="31"/>
      <c r="AN195" s="31"/>
      <c r="AO195" s="31"/>
      <c r="AP195" s="31"/>
      <c r="AQ195" s="31"/>
      <c r="AR195" s="31"/>
      <c r="AS195" s="31"/>
      <c r="AT195" s="60">
        <f t="shared" si="429"/>
        <v>0</v>
      </c>
      <c r="AU195" s="60"/>
      <c r="AV195" s="31"/>
      <c r="AW195" s="31"/>
      <c r="AX195" s="60">
        <f t="shared" si="419"/>
        <v>0</v>
      </c>
      <c r="AY195" s="60">
        <f t="shared" si="431"/>
        <v>0</v>
      </c>
    </row>
    <row r="196" spans="1:58" x14ac:dyDescent="0.25">
      <c r="A196" s="36" t="s">
        <v>9</v>
      </c>
      <c r="B196" s="82"/>
      <c r="C196" s="31"/>
      <c r="D196" s="31"/>
      <c r="E196" s="31"/>
      <c r="F196" s="31"/>
      <c r="G196" s="31"/>
      <c r="H196" s="31"/>
      <c r="I196" s="31"/>
      <c r="J196" s="60">
        <f t="shared" si="421"/>
        <v>0</v>
      </c>
      <c r="K196" s="60"/>
      <c r="L196" s="31"/>
      <c r="M196" s="31"/>
      <c r="N196" s="31"/>
      <c r="O196" s="31"/>
      <c r="P196" s="31"/>
      <c r="Q196" s="31"/>
      <c r="R196" s="31"/>
      <c r="S196" s="60">
        <f t="shared" si="423"/>
        <v>0</v>
      </c>
      <c r="T196" s="60"/>
      <c r="U196" s="31"/>
      <c r="V196" s="31"/>
      <c r="W196" s="31"/>
      <c r="X196" s="31"/>
      <c r="Y196" s="31"/>
      <c r="Z196" s="31"/>
      <c r="AA196" s="31"/>
      <c r="AB196" s="60">
        <f t="shared" si="425"/>
        <v>0</v>
      </c>
      <c r="AC196" s="60"/>
      <c r="AD196" s="31"/>
      <c r="AE196" s="31"/>
      <c r="AF196" s="31"/>
      <c r="AG196" s="31"/>
      <c r="AH196" s="31"/>
      <c r="AI196" s="31"/>
      <c r="AJ196" s="31"/>
      <c r="AK196" s="60">
        <f t="shared" si="427"/>
        <v>0</v>
      </c>
      <c r="AL196" s="60"/>
      <c r="AM196" s="31"/>
      <c r="AN196" s="31"/>
      <c r="AO196" s="31"/>
      <c r="AP196" s="31"/>
      <c r="AQ196" s="31"/>
      <c r="AR196" s="31"/>
      <c r="AS196" s="31"/>
      <c r="AT196" s="60">
        <f t="shared" si="429"/>
        <v>0</v>
      </c>
      <c r="AU196" s="60"/>
      <c r="AV196" s="31"/>
      <c r="AW196" s="31"/>
      <c r="AX196" s="60">
        <f t="shared" ref="AX196:AX198" si="443">SUM(AV196:AW196)</f>
        <v>0</v>
      </c>
      <c r="AY196" s="60">
        <f t="shared" si="431"/>
        <v>0</v>
      </c>
    </row>
    <row r="197" spans="1:58" x14ac:dyDescent="0.25">
      <c r="A197" s="21" t="s">
        <v>11</v>
      </c>
      <c r="B197" s="81"/>
      <c r="C197" s="31"/>
      <c r="D197" s="31"/>
      <c r="E197" s="31"/>
      <c r="F197" s="31"/>
      <c r="G197" s="31"/>
      <c r="H197" s="31"/>
      <c r="I197" s="31"/>
      <c r="J197" s="60">
        <f t="shared" si="421"/>
        <v>0</v>
      </c>
      <c r="K197" s="60"/>
      <c r="L197" s="31"/>
      <c r="M197" s="31"/>
      <c r="N197" s="31"/>
      <c r="O197" s="31"/>
      <c r="P197" s="31"/>
      <c r="Q197" s="31"/>
      <c r="R197" s="31"/>
      <c r="S197" s="60">
        <f t="shared" si="423"/>
        <v>0</v>
      </c>
      <c r="T197" s="60"/>
      <c r="U197" s="31"/>
      <c r="V197" s="31"/>
      <c r="W197" s="31"/>
      <c r="X197" s="31"/>
      <c r="Y197" s="31"/>
      <c r="Z197" s="31"/>
      <c r="AA197" s="31"/>
      <c r="AB197" s="60">
        <f t="shared" si="425"/>
        <v>0</v>
      </c>
      <c r="AC197" s="60"/>
      <c r="AD197" s="31"/>
      <c r="AE197" s="31"/>
      <c r="AF197" s="31"/>
      <c r="AG197" s="31"/>
      <c r="AH197" s="31"/>
      <c r="AI197" s="31"/>
      <c r="AJ197" s="31"/>
      <c r="AK197" s="60">
        <f t="shared" si="427"/>
        <v>0</v>
      </c>
      <c r="AL197" s="60"/>
      <c r="AM197" s="31"/>
      <c r="AN197" s="31"/>
      <c r="AO197" s="31"/>
      <c r="AP197" s="31"/>
      <c r="AQ197" s="31"/>
      <c r="AR197" s="31"/>
      <c r="AS197" s="31"/>
      <c r="AT197" s="60">
        <f t="shared" si="429"/>
        <v>0</v>
      </c>
      <c r="AU197" s="60"/>
      <c r="AV197" s="31"/>
      <c r="AW197" s="31"/>
      <c r="AX197" s="60">
        <f t="shared" si="443"/>
        <v>0</v>
      </c>
      <c r="AY197" s="60">
        <f t="shared" si="431"/>
        <v>0</v>
      </c>
    </row>
    <row r="198" spans="1:58" x14ac:dyDescent="0.25">
      <c r="A198" s="36" t="s">
        <v>10</v>
      </c>
      <c r="B198" s="82"/>
      <c r="C198" s="31"/>
      <c r="D198" s="31"/>
      <c r="E198" s="31"/>
      <c r="F198" s="31"/>
      <c r="G198" s="31"/>
      <c r="H198" s="31"/>
      <c r="I198" s="31"/>
      <c r="J198" s="60">
        <f t="shared" si="421"/>
        <v>0</v>
      </c>
      <c r="K198" s="60"/>
      <c r="L198" s="31"/>
      <c r="M198" s="31"/>
      <c r="N198" s="31"/>
      <c r="O198" s="31"/>
      <c r="P198" s="31"/>
      <c r="Q198" s="31"/>
      <c r="R198" s="31"/>
      <c r="S198" s="60">
        <f t="shared" si="423"/>
        <v>0</v>
      </c>
      <c r="T198" s="60"/>
      <c r="U198" s="31"/>
      <c r="V198" s="31"/>
      <c r="W198" s="31"/>
      <c r="X198" s="31"/>
      <c r="Y198" s="31"/>
      <c r="Z198" s="31"/>
      <c r="AA198" s="31"/>
      <c r="AB198" s="60">
        <f t="shared" si="425"/>
        <v>0</v>
      </c>
      <c r="AC198" s="60"/>
      <c r="AD198" s="31"/>
      <c r="AE198" s="31"/>
      <c r="AF198" s="31"/>
      <c r="AG198" s="31"/>
      <c r="AH198" s="31"/>
      <c r="AI198" s="31"/>
      <c r="AJ198" s="31"/>
      <c r="AK198" s="60">
        <f t="shared" si="427"/>
        <v>0</v>
      </c>
      <c r="AL198" s="60"/>
      <c r="AM198" s="31"/>
      <c r="AN198" s="31"/>
      <c r="AO198" s="31"/>
      <c r="AP198" s="31"/>
      <c r="AQ198" s="31"/>
      <c r="AR198" s="31"/>
      <c r="AS198" s="31"/>
      <c r="AT198" s="60">
        <f t="shared" si="429"/>
        <v>0</v>
      </c>
      <c r="AU198" s="60"/>
      <c r="AV198" s="31"/>
      <c r="AW198" s="31"/>
      <c r="AX198" s="60">
        <f t="shared" si="443"/>
        <v>0</v>
      </c>
      <c r="AY198" s="60">
        <f t="shared" si="431"/>
        <v>0</v>
      </c>
    </row>
    <row r="199" spans="1:58" s="33" customFormat="1" ht="15" customHeight="1" x14ac:dyDescent="0.25">
      <c r="A199" s="36" t="s">
        <v>44</v>
      </c>
      <c r="B199" s="82"/>
      <c r="C199" s="60">
        <f>IF(C187="nuit",C190*0.02,0)</f>
        <v>0</v>
      </c>
      <c r="D199" s="60">
        <f>IF(D187="nuit",D190*0.02,0)</f>
        <v>0</v>
      </c>
      <c r="E199" s="60">
        <f t="shared" ref="E199:I199" si="444">IF(E187="nuit",E190*0.02,0)</f>
        <v>0</v>
      </c>
      <c r="F199" s="60">
        <f t="shared" si="444"/>
        <v>0</v>
      </c>
      <c r="G199" s="60">
        <f>IF(G187="nuit",G190*0.02,0)</f>
        <v>0</v>
      </c>
      <c r="H199" s="60">
        <f t="shared" si="444"/>
        <v>0</v>
      </c>
      <c r="I199" s="60">
        <f t="shared" si="444"/>
        <v>0</v>
      </c>
      <c r="J199" s="60">
        <f t="shared" si="421"/>
        <v>0</v>
      </c>
      <c r="K199" s="60"/>
      <c r="L199" s="60">
        <f>IF(L187="nuit",L190*0.02,0)</f>
        <v>0</v>
      </c>
      <c r="M199" s="60">
        <f>IF(M187="nuit",M190*0.02,0)</f>
        <v>0</v>
      </c>
      <c r="N199" s="60">
        <f t="shared" ref="N199:R199" si="445">IF(N187="nuit",N190*0.02,0)</f>
        <v>0</v>
      </c>
      <c r="O199" s="60">
        <f t="shared" si="445"/>
        <v>0</v>
      </c>
      <c r="P199" s="60">
        <f>IF(P187="nuit",P190*0.02,0)</f>
        <v>0</v>
      </c>
      <c r="Q199" s="60">
        <f t="shared" si="445"/>
        <v>0</v>
      </c>
      <c r="R199" s="60">
        <f t="shared" si="445"/>
        <v>0</v>
      </c>
      <c r="S199" s="60">
        <f t="shared" si="423"/>
        <v>0</v>
      </c>
      <c r="T199" s="60"/>
      <c r="U199" s="60">
        <f>IF(U187="nuit",U190*0.02,0)</f>
        <v>0</v>
      </c>
      <c r="V199" s="60">
        <f>IF(V187="nuit",V190*0.02,0)</f>
        <v>0</v>
      </c>
      <c r="W199" s="60">
        <f t="shared" ref="W199:AA199" si="446">IF(W187="nuit",W190*0.02,0)</f>
        <v>0</v>
      </c>
      <c r="X199" s="60">
        <f t="shared" si="446"/>
        <v>0</v>
      </c>
      <c r="Y199" s="60">
        <f>IF(Y187="nuit",Y190*0.02,0)</f>
        <v>0</v>
      </c>
      <c r="Z199" s="60">
        <f t="shared" si="446"/>
        <v>0</v>
      </c>
      <c r="AA199" s="60">
        <f t="shared" si="446"/>
        <v>0</v>
      </c>
      <c r="AB199" s="60">
        <f t="shared" si="425"/>
        <v>0</v>
      </c>
      <c r="AC199" s="60"/>
      <c r="AD199" s="60">
        <f>IF(AD187="nuit",AD190*0.02,0)</f>
        <v>0</v>
      </c>
      <c r="AE199" s="60">
        <f>IF(AE187="nuit",AE190*0.02,0)</f>
        <v>0</v>
      </c>
      <c r="AF199" s="60">
        <f t="shared" ref="AF199:AJ199" si="447">IF(AF187="nuit",AF190*0.02,0)</f>
        <v>0</v>
      </c>
      <c r="AG199" s="60">
        <f t="shared" si="447"/>
        <v>0</v>
      </c>
      <c r="AH199" s="60">
        <f>IF(AH187="nuit",AH190*0.02,0)</f>
        <v>0</v>
      </c>
      <c r="AI199" s="60">
        <f t="shared" si="447"/>
        <v>0</v>
      </c>
      <c r="AJ199" s="60">
        <f t="shared" si="447"/>
        <v>0</v>
      </c>
      <c r="AK199" s="60">
        <f t="shared" si="427"/>
        <v>0</v>
      </c>
      <c r="AL199" s="60"/>
      <c r="AM199" s="60">
        <f>IF(AM187="nuit",AM190*0.02,0)</f>
        <v>0</v>
      </c>
      <c r="AN199" s="60">
        <f>IF(AN187="nuit",AN190*0.02,0)</f>
        <v>0</v>
      </c>
      <c r="AO199" s="60">
        <f t="shared" ref="AO199:AS199" si="448">IF(AO187="nuit",AO190*0.02,0)</f>
        <v>0</v>
      </c>
      <c r="AP199" s="60">
        <f t="shared" si="448"/>
        <v>0</v>
      </c>
      <c r="AQ199" s="60">
        <f>IF(AQ187="nuit",AQ190*0.02,0)</f>
        <v>0</v>
      </c>
      <c r="AR199" s="60">
        <f t="shared" si="448"/>
        <v>0</v>
      </c>
      <c r="AS199" s="60">
        <f t="shared" si="448"/>
        <v>0</v>
      </c>
      <c r="AT199" s="60">
        <f t="shared" si="429"/>
        <v>0</v>
      </c>
      <c r="AU199" s="60"/>
      <c r="AV199" s="60">
        <f>IF(AV187="nuit",AV190*0.02,0)</f>
        <v>0</v>
      </c>
      <c r="AW199" s="60">
        <f>IF(AW187="nuit",AW190*0.02,0)</f>
        <v>0</v>
      </c>
      <c r="AX199" s="60">
        <f>SUM(AV199:AW199)</f>
        <v>0</v>
      </c>
      <c r="AY199" s="60">
        <f>J199+S199+AB199+AK199+AT199+AX199</f>
        <v>0</v>
      </c>
      <c r="AZ199" s="52"/>
      <c r="BA199" s="52"/>
      <c r="BB199" s="52"/>
      <c r="BC199" s="52"/>
      <c r="BD199" s="52"/>
      <c r="BE199" s="52"/>
      <c r="BF199" s="35"/>
    </row>
    <row r="200" spans="1:58" ht="14.25" customHeight="1" x14ac:dyDescent="0.25">
      <c r="A200" s="21" t="s">
        <v>31</v>
      </c>
      <c r="B200" s="81"/>
      <c r="C200" s="31"/>
      <c r="D200" s="31"/>
      <c r="E200" s="31"/>
      <c r="F200" s="31"/>
      <c r="G200" s="31"/>
      <c r="H200" s="37"/>
      <c r="I200" s="37"/>
      <c r="J200" s="64"/>
      <c r="K200" s="64"/>
      <c r="L200" s="37"/>
      <c r="M200" s="37"/>
      <c r="N200" s="37"/>
      <c r="O200" s="37"/>
      <c r="P200" s="37"/>
      <c r="Q200" s="37"/>
      <c r="R200" s="37"/>
      <c r="S200" s="64"/>
      <c r="T200" s="64"/>
      <c r="U200" s="37"/>
      <c r="V200" s="37"/>
      <c r="W200" s="37"/>
      <c r="X200" s="37"/>
      <c r="Y200" s="37"/>
      <c r="Z200" s="37"/>
      <c r="AA200" s="37"/>
      <c r="AB200" s="64"/>
      <c r="AC200" s="64"/>
      <c r="AD200" s="37"/>
      <c r="AE200" s="37"/>
      <c r="AF200" s="37"/>
      <c r="AG200" s="37"/>
      <c r="AH200" s="37"/>
      <c r="AI200" s="37"/>
      <c r="AJ200" s="37"/>
      <c r="AK200" s="64"/>
      <c r="AL200" s="64"/>
      <c r="AM200" s="37"/>
      <c r="AN200" s="37"/>
      <c r="AO200" s="37"/>
      <c r="AP200" s="37"/>
      <c r="AQ200" s="37"/>
      <c r="AR200" s="37"/>
      <c r="AS200" s="37"/>
      <c r="AT200" s="64"/>
      <c r="AU200" s="64"/>
      <c r="AV200" s="37"/>
      <c r="AW200" s="37"/>
      <c r="AX200" s="64"/>
      <c r="AY200" s="65"/>
    </row>
    <row r="201" spans="1:58" x14ac:dyDescent="0.25">
      <c r="A201" s="38"/>
      <c r="B201" s="38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69"/>
    </row>
    <row r="202" spans="1:58" ht="27.6" x14ac:dyDescent="0.25">
      <c r="A202" s="21"/>
      <c r="B202" s="21"/>
      <c r="C202" s="24" t="s">
        <v>30</v>
      </c>
      <c r="D202" s="24"/>
      <c r="E202" s="24"/>
      <c r="F202" s="24"/>
      <c r="G202" s="24"/>
      <c r="H202" s="95">
        <f>Année_Calendaire</f>
        <v>2016</v>
      </c>
      <c r="I202" s="95"/>
      <c r="J202" s="49"/>
      <c r="K202" s="79"/>
      <c r="L202" s="31"/>
      <c r="M202" s="31"/>
      <c r="N202" s="31"/>
      <c r="O202" s="31"/>
      <c r="P202" s="31"/>
      <c r="Q202" s="31"/>
      <c r="R202" s="31"/>
      <c r="S202" s="49"/>
      <c r="T202" s="79"/>
      <c r="U202" s="24" t="s">
        <v>30</v>
      </c>
      <c r="V202" s="24"/>
      <c r="W202" s="24"/>
      <c r="X202" s="24"/>
      <c r="Y202" s="24"/>
      <c r="Z202" s="95">
        <f>Année_Calendaire</f>
        <v>2016</v>
      </c>
      <c r="AA202" s="95"/>
      <c r="AB202" s="49"/>
      <c r="AC202" s="79"/>
      <c r="AD202" s="31"/>
      <c r="AE202" s="31"/>
      <c r="AF202" s="31"/>
      <c r="AG202" s="31"/>
      <c r="AH202" s="31"/>
      <c r="AI202" s="31"/>
      <c r="AJ202" s="31"/>
      <c r="AK202" s="49"/>
      <c r="AL202" s="79"/>
      <c r="AM202" s="24" t="s">
        <v>30</v>
      </c>
      <c r="AN202" s="24"/>
      <c r="AO202" s="24"/>
      <c r="AP202" s="24"/>
      <c r="AQ202" s="24"/>
      <c r="AR202" s="95">
        <f>Année_Calendaire</f>
        <v>2016</v>
      </c>
      <c r="AS202" s="95"/>
      <c r="AT202" s="49"/>
      <c r="AU202" s="79"/>
      <c r="AV202" s="31"/>
      <c r="AW202" s="31"/>
      <c r="AX202" s="49"/>
    </row>
    <row r="203" spans="1:58" ht="29.25" customHeight="1" x14ac:dyDescent="0.25">
      <c r="A203" s="31"/>
      <c r="B203" s="31"/>
      <c r="C203" s="62" t="s">
        <v>13</v>
      </c>
      <c r="D203" s="62" t="s">
        <v>14</v>
      </c>
      <c r="E203" s="62" t="s">
        <v>15</v>
      </c>
      <c r="F203" s="62" t="s">
        <v>16</v>
      </c>
      <c r="G203" s="62" t="s">
        <v>17</v>
      </c>
      <c r="H203" s="62" t="s">
        <v>18</v>
      </c>
      <c r="I203" s="62" t="s">
        <v>19</v>
      </c>
      <c r="J203" s="96" t="s">
        <v>32</v>
      </c>
      <c r="K203" s="85"/>
      <c r="L203" s="62" t="s">
        <v>13</v>
      </c>
      <c r="M203" s="62" t="s">
        <v>14</v>
      </c>
      <c r="N203" s="62" t="s">
        <v>15</v>
      </c>
      <c r="O203" s="62" t="s">
        <v>16</v>
      </c>
      <c r="P203" s="62" t="s">
        <v>17</v>
      </c>
      <c r="Q203" s="62" t="s">
        <v>18</v>
      </c>
      <c r="R203" s="62" t="s">
        <v>19</v>
      </c>
      <c r="S203" s="96" t="s">
        <v>32</v>
      </c>
      <c r="T203" s="85"/>
      <c r="U203" s="62" t="s">
        <v>13</v>
      </c>
      <c r="V203" s="62" t="s">
        <v>14</v>
      </c>
      <c r="W203" s="62" t="s">
        <v>15</v>
      </c>
      <c r="X203" s="62" t="s">
        <v>16</v>
      </c>
      <c r="Y203" s="62" t="s">
        <v>17</v>
      </c>
      <c r="Z203" s="62" t="s">
        <v>18</v>
      </c>
      <c r="AA203" s="62" t="s">
        <v>19</v>
      </c>
      <c r="AB203" s="96" t="s">
        <v>32</v>
      </c>
      <c r="AC203" s="85"/>
      <c r="AD203" s="62" t="s">
        <v>13</v>
      </c>
      <c r="AE203" s="62" t="s">
        <v>14</v>
      </c>
      <c r="AF203" s="62" t="s">
        <v>15</v>
      </c>
      <c r="AG203" s="62" t="s">
        <v>16</v>
      </c>
      <c r="AH203" s="62" t="s">
        <v>17</v>
      </c>
      <c r="AI203" s="62" t="s">
        <v>18</v>
      </c>
      <c r="AJ203" s="62" t="s">
        <v>19</v>
      </c>
      <c r="AK203" s="96" t="s">
        <v>32</v>
      </c>
      <c r="AL203" s="85" t="s">
        <v>58</v>
      </c>
      <c r="AM203" s="62" t="s">
        <v>13</v>
      </c>
      <c r="AN203" s="62" t="s">
        <v>14</v>
      </c>
      <c r="AO203" s="62" t="s">
        <v>15</v>
      </c>
      <c r="AP203" s="62" t="s">
        <v>16</v>
      </c>
      <c r="AQ203" s="62" t="s">
        <v>17</v>
      </c>
      <c r="AR203" s="62" t="s">
        <v>18</v>
      </c>
      <c r="AS203" s="62" t="s">
        <v>19</v>
      </c>
      <c r="AT203" s="96" t="s">
        <v>32</v>
      </c>
      <c r="AU203" s="85" t="s">
        <v>79</v>
      </c>
      <c r="AV203" s="62" t="s">
        <v>13</v>
      </c>
      <c r="AW203" s="62" t="s">
        <v>14</v>
      </c>
      <c r="AX203" s="96" t="s">
        <v>32</v>
      </c>
      <c r="AY203" s="96" t="s">
        <v>35</v>
      </c>
      <c r="AZ203" s="97">
        <f>AY210+AY211+AY212</f>
        <v>5</v>
      </c>
      <c r="BA203" s="97">
        <f>AZ203+BA185</f>
        <v>15</v>
      </c>
    </row>
    <row r="204" spans="1:58" x14ac:dyDescent="0.25">
      <c r="A204" s="45"/>
      <c r="B204" s="84"/>
      <c r="C204" s="67" t="str">
        <f>IF(DAY(Déc_Dim1)=1,"",IF(AND(YEAR(Déc_Dim1+1)=Année_Calendaire,MONTH(Déc_Dim1+1)=12),Déc_Dim1+1,""))</f>
        <v/>
      </c>
      <c r="D204" s="67" t="str">
        <f>IF(DAY(Déc_Dim1)=1,"",IF(AND(YEAR(Déc_Dim1+2)=Année_Calendaire,MONTH(Déc_Dim1+2)=12),Déc_Dim1+2,""))</f>
        <v/>
      </c>
      <c r="E204" s="67" t="str">
        <f>IF(DAY(Déc_Dim1)=1,"",IF(AND(YEAR(Déc_Dim1+3)=Année_Calendaire,MONTH(Déc_Dim1+3)=12),Déc_Dim1+3,""))</f>
        <v/>
      </c>
      <c r="F204" s="67">
        <f>IF(DAY(Déc_Dim1)=1,"",IF(AND(YEAR(Déc_Dim1+4)=Année_Calendaire,MONTH(Déc_Dim1+4)=12),Déc_Dim1+4,""))</f>
        <v>42705</v>
      </c>
      <c r="G204" s="67">
        <f>IF(DAY(Déc_Dim1)=1,"",IF(AND(YEAR(Déc_Dim1+5)=Année_Calendaire,MONTH(Déc_Dim1+5)=12),Déc_Dim1+5,""))</f>
        <v>42706</v>
      </c>
      <c r="H204" s="67">
        <f>IF(DAY(Déc_Dim1)=1,"",IF(AND(YEAR(Déc_Dim1+6)=Année_Calendaire,MONTH(Déc_Dim1+6)=12),Déc_Dim1+6,""))</f>
        <v>42707</v>
      </c>
      <c r="I204" s="67">
        <f>IF(DAY(Déc_Dim1)=1,IF(AND(YEAR(Déc_Dim1)=Année_Calendaire,MONTH(Déc_Dim1)=12),Déc_Dim1,""),IF(AND(YEAR(Déc_Dim1+7)=Année_Calendaire,MONTH(Déc_Dim1+7)=12),Déc_Dim1+7,""))</f>
        <v>42708</v>
      </c>
      <c r="J204" s="96"/>
      <c r="K204" s="78"/>
      <c r="L204" s="67">
        <f>IF(DAY(Déc_Dim1)=1,IF(AND(YEAR(Déc_Dim1+1)=Année_Calendaire,MONTH(Déc_Dim1+1)=12),Déc_Dim1+1,""),IF(AND(YEAR(Déc_Dim1+8)=Année_Calendaire,MONTH(Déc_Dim1+8)=12),Déc_Dim1+8,""))</f>
        <v>42709</v>
      </c>
      <c r="M204" s="67">
        <f>IF(DAY(Déc_Dim1)=1,IF(AND(YEAR(Déc_Dim1+2)=Année_Calendaire,MONTH(Déc_Dim1+2)=12),Déc_Dim1+2,""),IF(AND(YEAR(Déc_Dim1+9)=Année_Calendaire,MONTH(Déc_Dim1+9)=12),Déc_Dim1+9,""))</f>
        <v>42710</v>
      </c>
      <c r="N204" s="67">
        <f>IF(DAY(Déc_Dim1)=1,IF(AND(YEAR(Déc_Dim1+3)=Année_Calendaire,MONTH(Déc_Dim1+3)=12),Déc_Dim1+3,""),IF(AND(YEAR(Déc_Dim1+10)=Année_Calendaire,MONTH(Déc_Dim1+10)=12),Déc_Dim1+10,""))</f>
        <v>42711</v>
      </c>
      <c r="O204" s="67">
        <f>IF(DAY(Déc_Dim1)=1,IF(AND(YEAR(Déc_Dim1+4)=Année_Calendaire,MONTH(Déc_Dim1+4)=12),Déc_Dim1+4,""),IF(AND(YEAR(Déc_Dim1+11)=Année_Calendaire,MONTH(Déc_Dim1+11)=12),Déc_Dim1+11,""))</f>
        <v>42712</v>
      </c>
      <c r="P204" s="67">
        <f>IF(DAY(Déc_Dim1)=1,IF(AND(YEAR(Déc_Dim1+5)=Année_Calendaire,MONTH(Déc_Dim1+5)=12),Déc_Dim1+5,""),IF(AND(YEAR(Déc_Dim1+12)=Année_Calendaire,MONTH(Déc_Dim1+12)=12),Déc_Dim1+12,""))</f>
        <v>42713</v>
      </c>
      <c r="Q204" s="67">
        <f>IF(DAY(Déc_Dim1)=1,IF(AND(YEAR(Déc_Dim1+6)=Année_Calendaire,MONTH(Déc_Dim1+6)=12),Déc_Dim1+6,""),IF(AND(YEAR(Déc_Dim1+13)=Année_Calendaire,MONTH(Déc_Dim1+13)=12),Déc_Dim1+13,""))</f>
        <v>42714</v>
      </c>
      <c r="R204" s="67">
        <f>IF(DAY(Déc_Dim1)=1,IF(AND(YEAR(Déc_Dim1+7)=Année_Calendaire,MONTH(Déc_Dim1+7)=12),Déc_Dim1+7,""),IF(AND(YEAR(Déc_Dim1+14)=Année_Calendaire,MONTH(Déc_Dim1+14)=12),Déc_Dim1+14,""))</f>
        <v>42715</v>
      </c>
      <c r="S204" s="96"/>
      <c r="T204" s="78"/>
      <c r="U204" s="67">
        <f>IF(DAY(Déc_Dim1)=1,IF(AND(YEAR(Déc_Dim1+8)=Année_Calendaire,MONTH(Déc_Dim1+8)=12),Déc_Dim1+8,""),IF(AND(YEAR(Déc_Dim1+15)=Année_Calendaire,MONTH(Déc_Dim1+15)=12),Déc_Dim1+15,""))</f>
        <v>42716</v>
      </c>
      <c r="V204" s="67">
        <f>IF(DAY(Déc_Dim1)=1,IF(AND(YEAR(Déc_Dim1+9)=Année_Calendaire,MONTH(Déc_Dim1+9)=12),Déc_Dim1+9,""),IF(AND(YEAR(Déc_Dim1+16)=Année_Calendaire,MONTH(Déc_Dim1+16)=12),Déc_Dim1+16,""))</f>
        <v>42717</v>
      </c>
      <c r="W204" s="67">
        <f>IF(DAY(Déc_Dim1)=1,IF(AND(YEAR(Déc_Dim1+10)=Année_Calendaire,MONTH(Déc_Dim1+10)=12),Déc_Dim1+10,""),IF(AND(YEAR(Déc_Dim1+17)=Année_Calendaire,MONTH(Déc_Dim1+17)=12),Déc_Dim1+17,""))</f>
        <v>42718</v>
      </c>
      <c r="X204" s="67">
        <f>IF(DAY(Déc_Dim1)=1,IF(AND(YEAR(Déc_Dim1+11)=Année_Calendaire,MONTH(Déc_Dim1+11)=12),Déc_Dim1+11,""),IF(AND(YEAR(Déc_Dim1+18)=Année_Calendaire,MONTH(Déc_Dim1+18)=12),Déc_Dim1+18,""))</f>
        <v>42719</v>
      </c>
      <c r="Y204" s="67">
        <f>IF(DAY(Déc_Dim1)=1,IF(AND(YEAR(Déc_Dim1+12)=Année_Calendaire,MONTH(Déc_Dim1+12)=12),Déc_Dim1+12,""),IF(AND(YEAR(Déc_Dim1+19)=Année_Calendaire,MONTH(Déc_Dim1+19)=12),Déc_Dim1+19,""))</f>
        <v>42720</v>
      </c>
      <c r="Z204" s="67">
        <f>IF(DAY(Déc_Dim1)=1,IF(AND(YEAR(Déc_Dim1+13)=Année_Calendaire,MONTH(Déc_Dim1+13)=12),Déc_Dim1+13,""),IF(AND(YEAR(Déc_Dim1+20)=Année_Calendaire,MONTH(Déc_Dim1+20)=12),Déc_Dim1+20,""))</f>
        <v>42721</v>
      </c>
      <c r="AA204" s="67">
        <f>IF(DAY(Déc_Dim1)=1,IF(AND(YEAR(Déc_Dim1+14)=Année_Calendaire,MONTH(Déc_Dim1+14)=12),Déc_Dim1+14,""),IF(AND(YEAR(Déc_Dim1+21)=Année_Calendaire,MONTH(Déc_Dim1+21)=12),Déc_Dim1+21,""))</f>
        <v>42722</v>
      </c>
      <c r="AB204" s="96"/>
      <c r="AC204" s="78"/>
      <c r="AD204" s="67">
        <f>IF(DAY(Déc_Dim1)=1,IF(AND(YEAR(Déc_Dim1+15)=Année_Calendaire,MONTH(Déc_Dim1+15)=12),Déc_Dim1+15,""),IF(AND(YEAR(Déc_Dim1+22)=Année_Calendaire,MONTH(Déc_Dim1+22)=12),Déc_Dim1+22,""))</f>
        <v>42723</v>
      </c>
      <c r="AE204" s="67">
        <f>IF(DAY(Déc_Dim1)=1,IF(AND(YEAR(Déc_Dim1+16)=Année_Calendaire,MONTH(Déc_Dim1+16)=12),Déc_Dim1+16,""),IF(AND(YEAR(Déc_Dim1+23)=Année_Calendaire,MONTH(Déc_Dim1+23)=12),Déc_Dim1+23,""))</f>
        <v>42724</v>
      </c>
      <c r="AF204" s="67">
        <f>IF(DAY(Déc_Dim1)=1,IF(AND(YEAR(Déc_Dim1+17)=Année_Calendaire,MONTH(Déc_Dim1+17)=12),Déc_Dim1+17,""),IF(AND(YEAR(Déc_Dim1+24)=Année_Calendaire,MONTH(Déc_Dim1+24)=12),Déc_Dim1+24,""))</f>
        <v>42725</v>
      </c>
      <c r="AG204" s="67">
        <f>IF(DAY(Déc_Dim1)=1,IF(AND(YEAR(Déc_Dim1+18)=Année_Calendaire,MONTH(Déc_Dim1+18)=12),Déc_Dim1+18,""),IF(AND(YEAR(Déc_Dim1+25)=Année_Calendaire,MONTH(Déc_Dim1+25)=12),Déc_Dim1+25,""))</f>
        <v>42726</v>
      </c>
      <c r="AH204" s="67">
        <f>IF(DAY(Déc_Dim1)=1,IF(AND(YEAR(Déc_Dim1+19)=Année_Calendaire,MONTH(Déc_Dim1+19)=12),Déc_Dim1+19,""),IF(AND(YEAR(Déc_Dim1+26)=Année_Calendaire,MONTH(Déc_Dim1+26)=12),Déc_Dim1+26,""))</f>
        <v>42727</v>
      </c>
      <c r="AI204" s="67">
        <f>IF(DAY(Déc_Dim1)=1,IF(AND(YEAR(Déc_Dim1+20)=Année_Calendaire,MONTH(Déc_Dim1+20)=12),Déc_Dim1+20,""),IF(AND(YEAR(Déc_Dim1+27)=Année_Calendaire,MONTH(Déc_Dim1+27)=12),Déc_Dim1+27,""))</f>
        <v>42728</v>
      </c>
      <c r="AJ204" s="67">
        <f>IF(DAY(Déc_Dim1)=1,IF(AND(YEAR(Déc_Dim1+21)=Année_Calendaire,MONTH(Déc_Dim1+21)=12),Déc_Dim1+21,""),IF(AND(YEAR(Déc_Dim1+28)=Année_Calendaire,MONTH(Déc_Dim1+28)=12),Déc_Dim1+28,""))</f>
        <v>42729</v>
      </c>
      <c r="AK204" s="96"/>
      <c r="AL204" s="78"/>
      <c r="AM204" s="67">
        <f>IF(DAY(Déc_Dim1)=1,IF(AND(YEAR(Déc_Dim1+22)=Année_Calendaire,MONTH(Déc_Dim1+22)=12),Déc_Dim1+22,""),IF(AND(YEAR(Déc_Dim1+29)=Année_Calendaire,MONTH(Déc_Dim1+29)=12),Déc_Dim1+29,""))</f>
        <v>42730</v>
      </c>
      <c r="AN204" s="67">
        <f>IF(DAY(Déc_Dim1)=1,IF(AND(YEAR(Déc_Dim1+23)=Année_Calendaire,MONTH(Déc_Dim1+23)=12),Déc_Dim1+23,""),IF(AND(YEAR(Déc_Dim1+30)=Année_Calendaire,MONTH(Déc_Dim1+30)=12),Déc_Dim1+30,""))</f>
        <v>42731</v>
      </c>
      <c r="AO204" s="67">
        <f>IF(DAY(Déc_Dim1)=1,IF(AND(YEAR(Déc_Dim1+24)=Année_Calendaire,MONTH(Déc_Dim1+24)=12),Déc_Dim1+24,""),IF(AND(YEAR(Déc_Dim1+31)=Année_Calendaire,MONTH(Déc_Dim1+31)=12),Déc_Dim1+31,""))</f>
        <v>42732</v>
      </c>
      <c r="AP204" s="67">
        <f>IF(DAY(Déc_Dim1)=1,IF(AND(YEAR(Déc_Dim1+25)=Année_Calendaire,MONTH(Déc_Dim1+25)=12),Déc_Dim1+25,""),IF(AND(YEAR(Déc_Dim1+32)=Année_Calendaire,MONTH(Déc_Dim1+32)=12),Déc_Dim1+32,""))</f>
        <v>42733</v>
      </c>
      <c r="AQ204" s="67">
        <f>IF(DAY(Déc_Dim1)=1,IF(AND(YEAR(Déc_Dim1+26)=Année_Calendaire,MONTH(Déc_Dim1+26)=12),Déc_Dim1+26,""),IF(AND(YEAR(Déc_Dim1+33)=Année_Calendaire,MONTH(Déc_Dim1+33)=12),Déc_Dim1+33,""))</f>
        <v>42734</v>
      </c>
      <c r="AR204" s="67">
        <f>IF(DAY(Déc_Dim1)=1,IF(AND(YEAR(Déc_Dim1+27)=Année_Calendaire,MONTH(Déc_Dim1+27)=12),Déc_Dim1+27,""),IF(AND(YEAR(Déc_Dim1+34)=Année_Calendaire,MONTH(Déc_Dim1+34)=12),Déc_Dim1+34,""))</f>
        <v>42735</v>
      </c>
      <c r="AS204" s="67" t="str">
        <f>IF(DAY(Déc_Dim1)=1,IF(AND(YEAR(Déc_Dim1+28)=Année_Calendaire,MONTH(Déc_Dim1+28)=12),Déc_Dim1+28,""),IF(AND(YEAR(Déc_Dim1+35)=Année_Calendaire,MONTH(Déc_Dim1+35)=12),Déc_Dim1+35,""))</f>
        <v/>
      </c>
      <c r="AT204" s="96"/>
      <c r="AU204" s="78"/>
      <c r="AV204" s="61" t="str">
        <f>IF(DAY(Déc_Dim1)=1,IF(AND(YEAR(Déc_Dim1+29)=Année_Calendaire,MONTH(Déc_Dim1+29)=12),Déc_Dim1+29,""),IF(AND(YEAR(Déc_Dim1+36)=Année_Calendaire,MONTH(Déc_Dim1+36)=12),Déc_Dim1+36,""))</f>
        <v/>
      </c>
      <c r="AW204" s="61" t="str">
        <f>IF(DAY(Déc_Dim1)=1,IF(AND(YEAR(Déc_Dim1+30)=Année_Calendaire,MONTH(Déc_Dim1+30)=12),Déc_Dim1+30,""),IF(AND(YEAR(Déc_Dim1+37)=Année_Calendaire,MONTH(Déc_Dim1+37)=12),Déc_Dim1+37,""))</f>
        <v/>
      </c>
      <c r="AX204" s="96"/>
      <c r="AY204" s="96"/>
      <c r="AZ204" s="97"/>
      <c r="BA204" s="97"/>
    </row>
    <row r="205" spans="1:58" x14ac:dyDescent="0.25">
      <c r="A205" s="21" t="s">
        <v>2</v>
      </c>
      <c r="B205" s="81"/>
      <c r="C205" s="60">
        <f>IFERROR(VLOOKUP(B203,DATA!$A:$H,2,TRUE),0)</f>
        <v>0</v>
      </c>
      <c r="D205" s="60">
        <f>IFERROR(VLOOKUP(B203,DATA!$A:$H,3,TRUE),0)</f>
        <v>0</v>
      </c>
      <c r="E205" s="60">
        <f>IFERROR(VLOOKUP(B203,DATA!$A:$H,4,TRUE),0)</f>
        <v>0</v>
      </c>
      <c r="F205" s="60">
        <f>IFERROR(VLOOKUP(B203,DATA!$A:$H,5,TRUE),0)</f>
        <v>0</v>
      </c>
      <c r="G205" s="60">
        <f>IFERROR(VLOOKUP(B203,DATA!$A:$H,6,TRUE),0)</f>
        <v>0</v>
      </c>
      <c r="H205" s="60">
        <f>IFERROR(VLOOKUP(B203,DATA!$A:$H,7,TRUE),0)</f>
        <v>0</v>
      </c>
      <c r="I205" s="60">
        <f>IFERROR(VLOOKUP(B203,DATA!$A:$H,8,TRUE),0)</f>
        <v>0</v>
      </c>
      <c r="J205" s="60"/>
      <c r="K205" s="60"/>
      <c r="L205" s="60">
        <f>IFERROR(VLOOKUP(K203,DATA!$A:$H,2,TRUE),0)</f>
        <v>0</v>
      </c>
      <c r="M205" s="60">
        <f>IFERROR(VLOOKUP(K203,DATA!$A:$H,3,TRUE),0)</f>
        <v>0</v>
      </c>
      <c r="N205" s="60">
        <f>IFERROR(VLOOKUP(K203,DATA!$A:$H,4,TRUE),0)</f>
        <v>0</v>
      </c>
      <c r="O205" s="60">
        <f>IFERROR(VLOOKUP(K203,DATA!$A:$H,5,TRUE),0)</f>
        <v>0</v>
      </c>
      <c r="P205" s="60">
        <f>IFERROR(VLOOKUP(K203,DATA!$A:$H,6,TRUE),0)</f>
        <v>0</v>
      </c>
      <c r="Q205" s="60">
        <f>IFERROR(VLOOKUP(K203,DATA!$A:$H,7,TRUE),0)</f>
        <v>0</v>
      </c>
      <c r="R205" s="60">
        <f>IFERROR(VLOOKUP(K203,DATA!$A:$H,8,TRUE),0)</f>
        <v>0</v>
      </c>
      <c r="S205" s="60"/>
      <c r="T205" s="60"/>
      <c r="U205" s="60">
        <f>IFERROR(VLOOKUP(T203,DATA!$A:$H,2,TRUE),0)</f>
        <v>0</v>
      </c>
      <c r="V205" s="60">
        <f>IFERROR(VLOOKUP(T203,DATA!$A:$H,3,TRUE),0)</f>
        <v>0</v>
      </c>
      <c r="W205" s="60">
        <f>IFERROR(VLOOKUP(T203,DATA!$A:$H,4,TRUE),0)</f>
        <v>0</v>
      </c>
      <c r="X205" s="60">
        <f>IFERROR(VLOOKUP(T203,DATA!$A:$H,5,TRUE),0)</f>
        <v>0</v>
      </c>
      <c r="Y205" s="60">
        <f>IFERROR(VLOOKUP(T203,DATA!$A:$H,6,TRUE),0)</f>
        <v>0</v>
      </c>
      <c r="Z205" s="60">
        <f>IFERROR(VLOOKUP(T203,DATA!$A:$H,7,TRUE),0)</f>
        <v>0</v>
      </c>
      <c r="AA205" s="60">
        <f>IFERROR(VLOOKUP(T203,DATA!$A:$H,8,TRUE),0)</f>
        <v>0</v>
      </c>
      <c r="AB205" s="60"/>
      <c r="AC205" s="60"/>
      <c r="AD205" s="60">
        <f>IFERROR(VLOOKUP(AC203,DATA!$A:$H,2,TRUE),0)</f>
        <v>0</v>
      </c>
      <c r="AE205" s="60">
        <f>IFERROR(VLOOKUP(AC203,DATA!$A:$H,3,TRUE),0)</f>
        <v>0</v>
      </c>
      <c r="AF205" s="60">
        <f>IFERROR(VLOOKUP(AC203,DATA!$A:$H,4,TRUE),0)</f>
        <v>0</v>
      </c>
      <c r="AG205" s="60">
        <f>IFERROR(VLOOKUP(AC203,DATA!$A:$H,5,TRUE),0)</f>
        <v>0</v>
      </c>
      <c r="AH205" s="60">
        <f>IFERROR(VLOOKUP(AC203,DATA!$A:$H,6,TRUE),0)</f>
        <v>0</v>
      </c>
      <c r="AI205" s="60">
        <f>IFERROR(VLOOKUP(AC203,DATA!$A:$H,7,TRUE),0)</f>
        <v>0</v>
      </c>
      <c r="AJ205" s="60">
        <f>IFERROR(VLOOKUP(AC203,DATA!$A:$H,8,TRUE),0)</f>
        <v>0</v>
      </c>
      <c r="AK205" s="60"/>
      <c r="AL205" s="60"/>
      <c r="AM205" s="60" t="str">
        <f>IFERROR(VLOOKUP(AL203,DATA!$A:$H,2,TRUE),0)</f>
        <v>am</v>
      </c>
      <c r="AN205" s="60" t="str">
        <f>IFERROR(VLOOKUP(AL203,DATA!$A:$H,3,TRUE),0)</f>
        <v>am</v>
      </c>
      <c r="AO205" s="60" t="str">
        <f>IFERROR(VLOOKUP(AL203,DATA!$A:$H,4,TRUE),0)</f>
        <v>am</v>
      </c>
      <c r="AP205" s="60" t="str">
        <f>IFERROR(VLOOKUP(AL203,DATA!$A:$H,5,TRUE),0)</f>
        <v>am</v>
      </c>
      <c r="AQ205" s="60" t="str">
        <f>IFERROR(VLOOKUP(AL203,DATA!$A:$H,6,TRUE),0)</f>
        <v>am</v>
      </c>
      <c r="AR205" s="60">
        <f>IFERROR(VLOOKUP(AL203,DATA!$A:$H,7,TRUE),0)</f>
        <v>0</v>
      </c>
      <c r="AS205" s="60">
        <f>IFERROR(VLOOKUP(AL203,DATA!$A:$H,8,TRUE),0)</f>
        <v>0</v>
      </c>
      <c r="AT205" s="60"/>
      <c r="AU205" s="60"/>
      <c r="AV205" s="60" t="str">
        <f>IFERROR(VLOOKUP(AU203,DATA!$A:$H,2,TRUE),0)</f>
        <v>matin</v>
      </c>
      <c r="AW205" s="60">
        <f>IFERROR(VLOOKUP(AU203,DATA!$A:$H,3,TRUE),0)</f>
        <v>0</v>
      </c>
      <c r="AX205" s="60"/>
      <c r="AY205" s="63"/>
    </row>
    <row r="206" spans="1:58" x14ac:dyDescent="0.25">
      <c r="A206" s="21" t="s">
        <v>12</v>
      </c>
      <c r="B206" s="81"/>
      <c r="C206" s="60">
        <f t="shared" ref="C206:I206" si="449">IF(C205="Matin",1,IF(C205="AM",1,0))</f>
        <v>0</v>
      </c>
      <c r="D206" s="60">
        <f t="shared" si="449"/>
        <v>0</v>
      </c>
      <c r="E206" s="60">
        <f t="shared" si="449"/>
        <v>0</v>
      </c>
      <c r="F206" s="60">
        <f t="shared" si="449"/>
        <v>0</v>
      </c>
      <c r="G206" s="60">
        <f t="shared" si="449"/>
        <v>0</v>
      </c>
      <c r="H206" s="60">
        <f t="shared" si="449"/>
        <v>0</v>
      </c>
      <c r="I206" s="60">
        <f t="shared" si="449"/>
        <v>0</v>
      </c>
      <c r="J206" s="60">
        <f>SUM(C206:I206)</f>
        <v>0</v>
      </c>
      <c r="K206" s="60"/>
      <c r="L206" s="60">
        <f t="shared" ref="L206:R206" si="450">IF(L205="Matin",1,IF(L205="AM",1,0))</f>
        <v>0</v>
      </c>
      <c r="M206" s="60">
        <f t="shared" si="450"/>
        <v>0</v>
      </c>
      <c r="N206" s="60">
        <f t="shared" si="450"/>
        <v>0</v>
      </c>
      <c r="O206" s="60">
        <f t="shared" si="450"/>
        <v>0</v>
      </c>
      <c r="P206" s="60">
        <f t="shared" si="450"/>
        <v>0</v>
      </c>
      <c r="Q206" s="60">
        <f t="shared" si="450"/>
        <v>0</v>
      </c>
      <c r="R206" s="60">
        <f t="shared" si="450"/>
        <v>0</v>
      </c>
      <c r="S206" s="60">
        <f>SUM(L206:R206)</f>
        <v>0</v>
      </c>
      <c r="T206" s="60"/>
      <c r="U206" s="60">
        <f t="shared" ref="U206:AA206" si="451">IF(U205="Matin",1,IF(U205="AM",1,0))</f>
        <v>0</v>
      </c>
      <c r="V206" s="60">
        <f t="shared" si="451"/>
        <v>0</v>
      </c>
      <c r="W206" s="60">
        <f t="shared" si="451"/>
        <v>0</v>
      </c>
      <c r="X206" s="60">
        <f t="shared" si="451"/>
        <v>0</v>
      </c>
      <c r="Y206" s="60">
        <f t="shared" si="451"/>
        <v>0</v>
      </c>
      <c r="Z206" s="60">
        <f t="shared" si="451"/>
        <v>0</v>
      </c>
      <c r="AA206" s="60">
        <f t="shared" si="451"/>
        <v>0</v>
      </c>
      <c r="AB206" s="60">
        <f>SUM(U206:AA206)</f>
        <v>0</v>
      </c>
      <c r="AC206" s="60"/>
      <c r="AD206" s="60">
        <f t="shared" ref="AD206:AJ206" si="452">IF(AD205="Matin",1,IF(AD205="AM",1,0))</f>
        <v>0</v>
      </c>
      <c r="AE206" s="60">
        <f t="shared" si="452"/>
        <v>0</v>
      </c>
      <c r="AF206" s="60">
        <f t="shared" si="452"/>
        <v>0</v>
      </c>
      <c r="AG206" s="60">
        <f t="shared" si="452"/>
        <v>0</v>
      </c>
      <c r="AH206" s="60">
        <f t="shared" si="452"/>
        <v>0</v>
      </c>
      <c r="AI206" s="60">
        <f t="shared" si="452"/>
        <v>0</v>
      </c>
      <c r="AJ206" s="60">
        <f t="shared" si="452"/>
        <v>0</v>
      </c>
      <c r="AK206" s="60">
        <f>SUM(AD206:AJ206)</f>
        <v>0</v>
      </c>
      <c r="AL206" s="60"/>
      <c r="AM206" s="60">
        <f t="shared" ref="AM206:AS206" si="453">IF(AM205="Matin",1,IF(AM205="AM",1,0))</f>
        <v>1</v>
      </c>
      <c r="AN206" s="60">
        <f t="shared" si="453"/>
        <v>1</v>
      </c>
      <c r="AO206" s="60">
        <f t="shared" si="453"/>
        <v>1</v>
      </c>
      <c r="AP206" s="60">
        <f t="shared" si="453"/>
        <v>1</v>
      </c>
      <c r="AQ206" s="60">
        <f t="shared" si="453"/>
        <v>1</v>
      </c>
      <c r="AR206" s="60">
        <f t="shared" si="453"/>
        <v>0</v>
      </c>
      <c r="AS206" s="60">
        <f t="shared" si="453"/>
        <v>0</v>
      </c>
      <c r="AT206" s="60">
        <f>SUM(AM206:AS206)</f>
        <v>5</v>
      </c>
      <c r="AU206" s="60"/>
      <c r="AV206" s="60">
        <f t="shared" ref="AV206:AW206" si="454">IF(AV205="Matin",1,IF(AV205="AM",1,0))</f>
        <v>1</v>
      </c>
      <c r="AW206" s="60">
        <f t="shared" si="454"/>
        <v>0</v>
      </c>
      <c r="AX206" s="60">
        <f t="shared" ref="AX206:AX213" si="455">SUM(AV206:AW206)</f>
        <v>1</v>
      </c>
      <c r="AY206" s="60">
        <f>J206+S206+AB206+AK206+AT206+AX206</f>
        <v>6</v>
      </c>
    </row>
    <row r="207" spans="1:58" x14ac:dyDescent="0.25">
      <c r="A207" s="21" t="s">
        <v>4</v>
      </c>
      <c r="B207" s="81"/>
      <c r="C207" s="60">
        <f>IF(C208&gt;=1,1,0)</f>
        <v>0</v>
      </c>
      <c r="D207" s="60">
        <f>IF(D208&gt;=1,1,0)</f>
        <v>0</v>
      </c>
      <c r="E207" s="60">
        <f t="shared" ref="E207:I207" si="456">IF(E208&gt;=1,1,0)</f>
        <v>0</v>
      </c>
      <c r="F207" s="60">
        <f t="shared" si="456"/>
        <v>0</v>
      </c>
      <c r="G207" s="60">
        <f t="shared" si="456"/>
        <v>0</v>
      </c>
      <c r="H207" s="60">
        <f t="shared" si="456"/>
        <v>0</v>
      </c>
      <c r="I207" s="60">
        <f t="shared" si="456"/>
        <v>0</v>
      </c>
      <c r="J207" s="60">
        <f t="shared" ref="J207:J217" si="457">SUM(C207:I207)</f>
        <v>0</v>
      </c>
      <c r="K207" s="60"/>
      <c r="L207" s="60">
        <f>IF(L208&gt;=1,1,0)</f>
        <v>0</v>
      </c>
      <c r="M207" s="60">
        <f t="shared" ref="M207:R207" si="458">IF(M208&gt;=1,1,0)</f>
        <v>0</v>
      </c>
      <c r="N207" s="60">
        <f t="shared" si="458"/>
        <v>0</v>
      </c>
      <c r="O207" s="60">
        <f t="shared" si="458"/>
        <v>0</v>
      </c>
      <c r="P207" s="60">
        <f t="shared" si="458"/>
        <v>0</v>
      </c>
      <c r="Q207" s="60">
        <f t="shared" si="458"/>
        <v>0</v>
      </c>
      <c r="R207" s="60">
        <f t="shared" si="458"/>
        <v>0</v>
      </c>
      <c r="S207" s="60">
        <f t="shared" ref="S207:S217" si="459">SUM(L207:R207)</f>
        <v>0</v>
      </c>
      <c r="T207" s="60"/>
      <c r="U207" s="60">
        <f>IF(U208&gt;=1,1,0)</f>
        <v>0</v>
      </c>
      <c r="V207" s="60">
        <f t="shared" ref="V207:AA207" si="460">IF(V208&gt;=1,1,0)</f>
        <v>0</v>
      </c>
      <c r="W207" s="60">
        <f t="shared" si="460"/>
        <v>0</v>
      </c>
      <c r="X207" s="60">
        <f t="shared" si="460"/>
        <v>0</v>
      </c>
      <c r="Y207" s="60">
        <f t="shared" si="460"/>
        <v>0</v>
      </c>
      <c r="Z207" s="60">
        <f t="shared" si="460"/>
        <v>0</v>
      </c>
      <c r="AA207" s="60">
        <f t="shared" si="460"/>
        <v>0</v>
      </c>
      <c r="AB207" s="60">
        <f t="shared" ref="AB207:AB217" si="461">SUM(U207:AA207)</f>
        <v>0</v>
      </c>
      <c r="AC207" s="60"/>
      <c r="AD207" s="60">
        <f>IF(AD208&gt;=1,1,0)</f>
        <v>0</v>
      </c>
      <c r="AE207" s="60">
        <f t="shared" ref="AE207:AJ207" si="462">IF(AE208&gt;=1,1,0)</f>
        <v>0</v>
      </c>
      <c r="AF207" s="60">
        <f t="shared" si="462"/>
        <v>0</v>
      </c>
      <c r="AG207" s="60">
        <f t="shared" si="462"/>
        <v>0</v>
      </c>
      <c r="AH207" s="60">
        <f t="shared" si="462"/>
        <v>0</v>
      </c>
      <c r="AI207" s="60">
        <f t="shared" si="462"/>
        <v>0</v>
      </c>
      <c r="AJ207" s="60">
        <f t="shared" si="462"/>
        <v>0</v>
      </c>
      <c r="AK207" s="60">
        <f t="shared" ref="AK207:AK217" si="463">SUM(AD207:AJ207)</f>
        <v>0</v>
      </c>
      <c r="AL207" s="60"/>
      <c r="AM207" s="60">
        <f>IF(AM208&gt;=1,1,0)</f>
        <v>1</v>
      </c>
      <c r="AN207" s="60">
        <f t="shared" ref="AN207:AS207" si="464">IF(AN208&gt;=1,1,0)</f>
        <v>1</v>
      </c>
      <c r="AO207" s="60">
        <f t="shared" si="464"/>
        <v>1</v>
      </c>
      <c r="AP207" s="60">
        <f t="shared" si="464"/>
        <v>1</v>
      </c>
      <c r="AQ207" s="60">
        <f t="shared" si="464"/>
        <v>1</v>
      </c>
      <c r="AR207" s="60">
        <f t="shared" si="464"/>
        <v>0</v>
      </c>
      <c r="AS207" s="60">
        <f t="shared" si="464"/>
        <v>0</v>
      </c>
      <c r="AT207" s="60">
        <f t="shared" ref="AT207:AT217" si="465">SUM(AM207:AS207)</f>
        <v>5</v>
      </c>
      <c r="AU207" s="60"/>
      <c r="AV207" s="60">
        <f>IF(AV208&gt;=1,1,0)</f>
        <v>1</v>
      </c>
      <c r="AW207" s="60">
        <f t="shared" ref="AW207" si="466">IF(AW208&gt;=1,1,0)</f>
        <v>0</v>
      </c>
      <c r="AX207" s="60">
        <f t="shared" si="455"/>
        <v>1</v>
      </c>
      <c r="AY207" s="60">
        <f t="shared" ref="AY207:AY216" si="467">J207+S207+AB207+AK207+AT207+AX207</f>
        <v>6</v>
      </c>
    </row>
    <row r="208" spans="1:58" x14ac:dyDescent="0.25">
      <c r="A208" s="21" t="s">
        <v>3</v>
      </c>
      <c r="B208" s="81"/>
      <c r="C208" s="60">
        <f>IF(C205="Matin",8,IF(C205="AM",8,IF(C205="nuit",8,0)))</f>
        <v>0</v>
      </c>
      <c r="D208" s="60">
        <f t="shared" ref="D208:I208" si="468">IF(D205="Matin",8,IF(D205="AM",8,IF(D205="nuit",8,0)))</f>
        <v>0</v>
      </c>
      <c r="E208" s="60">
        <f t="shared" si="468"/>
        <v>0</v>
      </c>
      <c r="F208" s="60">
        <f t="shared" si="468"/>
        <v>0</v>
      </c>
      <c r="G208" s="60">
        <f t="shared" si="468"/>
        <v>0</v>
      </c>
      <c r="H208" s="60">
        <f t="shared" si="468"/>
        <v>0</v>
      </c>
      <c r="I208" s="60">
        <f t="shared" si="468"/>
        <v>0</v>
      </c>
      <c r="J208" s="60">
        <f t="shared" si="457"/>
        <v>0</v>
      </c>
      <c r="K208" s="60"/>
      <c r="L208" s="60">
        <f>IF(L205="Matin",8,IF(L205="AM",8,IF(L205="nuit",8,0)))</f>
        <v>0</v>
      </c>
      <c r="M208" s="60">
        <f t="shared" ref="M208:R208" si="469">IF(M205="Matin",8,IF(M205="AM",8,IF(M205="nuit",8,0)))</f>
        <v>0</v>
      </c>
      <c r="N208" s="60">
        <f t="shared" si="469"/>
        <v>0</v>
      </c>
      <c r="O208" s="60">
        <f t="shared" si="469"/>
        <v>0</v>
      </c>
      <c r="P208" s="60">
        <f t="shared" si="469"/>
        <v>0</v>
      </c>
      <c r="Q208" s="60">
        <f t="shared" si="469"/>
        <v>0</v>
      </c>
      <c r="R208" s="60">
        <f t="shared" si="469"/>
        <v>0</v>
      </c>
      <c r="S208" s="60">
        <f t="shared" si="459"/>
        <v>0</v>
      </c>
      <c r="T208" s="60"/>
      <c r="U208" s="60">
        <f>IF(U205="Matin",8,IF(U205="AM",8,IF(U205="nuit",8,0)))</f>
        <v>0</v>
      </c>
      <c r="V208" s="60">
        <f t="shared" ref="V208:AA208" si="470">IF(V205="Matin",8,IF(V205="AM",8,IF(V205="nuit",8,0)))</f>
        <v>0</v>
      </c>
      <c r="W208" s="60">
        <f t="shared" si="470"/>
        <v>0</v>
      </c>
      <c r="X208" s="60">
        <f t="shared" si="470"/>
        <v>0</v>
      </c>
      <c r="Y208" s="60">
        <f t="shared" si="470"/>
        <v>0</v>
      </c>
      <c r="Z208" s="60">
        <f t="shared" si="470"/>
        <v>0</v>
      </c>
      <c r="AA208" s="60">
        <f t="shared" si="470"/>
        <v>0</v>
      </c>
      <c r="AB208" s="60">
        <f t="shared" si="461"/>
        <v>0</v>
      </c>
      <c r="AC208" s="60"/>
      <c r="AD208" s="60">
        <f>IF(AD205="Matin",8,IF(AD205="AM",8,IF(AD205="nuit",8,0)))</f>
        <v>0</v>
      </c>
      <c r="AE208" s="60">
        <f t="shared" ref="AE208:AJ208" si="471">IF(AE205="Matin",8,IF(AE205="AM",8,IF(AE205="nuit",8,0)))</f>
        <v>0</v>
      </c>
      <c r="AF208" s="60">
        <f t="shared" si="471"/>
        <v>0</v>
      </c>
      <c r="AG208" s="60">
        <f t="shared" si="471"/>
        <v>0</v>
      </c>
      <c r="AH208" s="60">
        <f t="shared" si="471"/>
        <v>0</v>
      </c>
      <c r="AI208" s="60">
        <f t="shared" si="471"/>
        <v>0</v>
      </c>
      <c r="AJ208" s="60">
        <f t="shared" si="471"/>
        <v>0</v>
      </c>
      <c r="AK208" s="60">
        <f t="shared" si="463"/>
        <v>0</v>
      </c>
      <c r="AL208" s="60"/>
      <c r="AM208" s="60">
        <f>IF(AM205="Matin",8,IF(AM205="AM",8,IF(AM205="nuit",8,0)))</f>
        <v>8</v>
      </c>
      <c r="AN208" s="60">
        <f t="shared" ref="AN208:AS208" si="472">IF(AN205="Matin",8,IF(AN205="AM",8,IF(AN205="nuit",8,0)))</f>
        <v>8</v>
      </c>
      <c r="AO208" s="60">
        <f t="shared" si="472"/>
        <v>8</v>
      </c>
      <c r="AP208" s="60">
        <f t="shared" si="472"/>
        <v>8</v>
      </c>
      <c r="AQ208" s="60">
        <f t="shared" si="472"/>
        <v>8</v>
      </c>
      <c r="AR208" s="60">
        <f t="shared" si="472"/>
        <v>0</v>
      </c>
      <c r="AS208" s="60">
        <f t="shared" si="472"/>
        <v>0</v>
      </c>
      <c r="AT208" s="60">
        <f t="shared" si="465"/>
        <v>40</v>
      </c>
      <c r="AU208" s="60"/>
      <c r="AV208" s="60">
        <f>IF(AV205="Matin",8,IF(AV205="AM",8,IF(AV205="nuit",8,0)))</f>
        <v>8</v>
      </c>
      <c r="AW208" s="60">
        <f t="shared" ref="AW208" si="473">IF(AW205="Matin",8,IF(AW205="AM",8,IF(AW205="nuit",8,0)))</f>
        <v>0</v>
      </c>
      <c r="AX208" s="60">
        <f t="shared" si="455"/>
        <v>8</v>
      </c>
      <c r="AY208" s="60">
        <f t="shared" si="467"/>
        <v>48</v>
      </c>
    </row>
    <row r="209" spans="1:58" x14ac:dyDescent="0.25">
      <c r="A209" s="36" t="s">
        <v>20</v>
      </c>
      <c r="B209" s="82"/>
      <c r="C209" s="66">
        <f>IF(C203&lt;&gt;"Dim",IF(C208&gt;32,MIN(C208,35)-32,0),0)</f>
        <v>0</v>
      </c>
      <c r="D209" s="66">
        <f>IF(D203&lt;&gt;"Dim",IF(SUM($C208:D208)&gt;32,MIN(SUM($C208:D208),35)-32-SUM($C209:C209),0),0)</f>
        <v>0</v>
      </c>
      <c r="E209" s="66">
        <f>IF(E203&lt;&gt;"Dim",IF(SUM($C208:E208)&gt;32,MIN(SUM($C208:E208),35)-32-SUM($C209:D209),0),0)</f>
        <v>0</v>
      </c>
      <c r="F209" s="66">
        <f>IF(F203&lt;&gt;"Dim",IF(SUM($C208:F208)&gt;32,MIN(SUM($C208:F208),35)-32-SUM($C209:E209),0),0)</f>
        <v>0</v>
      </c>
      <c r="G209" s="66">
        <f>IF(G203&lt;&gt;"Dim",IF(SUM($C208:G208)&gt;32,MIN(SUM($C208:G208),35)-32-SUM($C209:F209),0),0)</f>
        <v>0</v>
      </c>
      <c r="H209" s="66">
        <f>IF(H203&lt;&gt;"Dim",IF(SUM($C208:H208)&gt;32,MIN(SUM($C208:H208),35)-32-SUM($C209:G209),0),0)</f>
        <v>0</v>
      </c>
      <c r="I209" s="66">
        <f>IF(I203&lt;&gt;"Dim",IF(SUM($C208:I208)&gt;32,MIN(SUM($C208:I208),35)-32-SUM($C209:H209),0),0)</f>
        <v>0</v>
      </c>
      <c r="J209" s="60">
        <f t="shared" si="457"/>
        <v>0</v>
      </c>
      <c r="K209" s="60"/>
      <c r="L209" s="66">
        <f>IF(L203&lt;&gt;"Dim",IF(L208&gt;32,MIN(L208,35)-32,0),0)</f>
        <v>0</v>
      </c>
      <c r="M209" s="66">
        <f>IF(M203&lt;&gt;"Dim",IF(SUM($L208:M208)&gt;32,MIN(SUM($L208:M208),35)-32-SUM($L209:L209),0),0)</f>
        <v>0</v>
      </c>
      <c r="N209" s="66">
        <f>IF(N203&lt;&gt;"Dim",IF(SUM($L208:N208)&gt;32,MIN(SUM($L208:N208),35)-32-SUM($L209:M209),0),0)</f>
        <v>0</v>
      </c>
      <c r="O209" s="66">
        <f>IF(O203&lt;&gt;"Dim",IF(SUM($L208:O208)&gt;32,MIN(SUM($L208:O208),35)-32-SUM($L209:N209),0),0)</f>
        <v>0</v>
      </c>
      <c r="P209" s="66">
        <f>IF(P203&lt;&gt;"Dim",IF(SUM($L208:P208)&gt;32,MIN(SUM($L208:P208),35)-32-SUM($L209:O209),0),0)</f>
        <v>0</v>
      </c>
      <c r="Q209" s="66">
        <f>IF(Q203&lt;&gt;"Dim",IF(SUM($L208:Q208)&gt;32,MIN(SUM($L208:Q208),35)-32-SUM($L209:P209),0),0)</f>
        <v>0</v>
      </c>
      <c r="R209" s="66">
        <f>IF(R203&lt;&gt;"Dim",IF(SUM($L208:R208)&gt;32,MIN(SUM($L208:R208),35)-32-SUM($L209:Q209),0),0)</f>
        <v>0</v>
      </c>
      <c r="S209" s="60">
        <f t="shared" si="459"/>
        <v>0</v>
      </c>
      <c r="T209" s="60"/>
      <c r="U209" s="66">
        <f>IF(U203&lt;&gt;"Dim",IF(U208&gt;32,MIN(U208,35)-32,0),0)</f>
        <v>0</v>
      </c>
      <c r="V209" s="66">
        <f>IF(V203&lt;&gt;"Dim",IF(SUM($U208:V208)&gt;32,MIN(SUM($U208:V208),35)-32-SUM($U209:U209),0),0)</f>
        <v>0</v>
      </c>
      <c r="W209" s="66">
        <f>IF(W203&lt;&gt;"Dim",IF(SUM($U208:W208)&gt;32,MIN(SUM($U208:W208),35)-32-SUM($U209:V209),0),0)</f>
        <v>0</v>
      </c>
      <c r="X209" s="66">
        <f>IF(X203&lt;&gt;"Dim",IF(SUM($U208:X208)&gt;32,MIN(SUM($U208:X208),35)-32-SUM($U209:W209),0),0)</f>
        <v>0</v>
      </c>
      <c r="Y209" s="66">
        <f>IF(Y203&lt;&gt;"Dim",IF(SUM($U208:Y208)&gt;32,MIN(SUM($U208:Y208),35)-32-SUM($U209:X209),0),0)</f>
        <v>0</v>
      </c>
      <c r="Z209" s="66">
        <f>IF(Z203&lt;&gt;"Dim",IF(SUM($U208:Z208)&gt;32,MIN(SUM($U208:Z208),35)-32-SUM($U209:Y209),0),0)</f>
        <v>0</v>
      </c>
      <c r="AA209" s="66">
        <f>IF(AA203&lt;&gt;"Dim",IF(SUM($U208:AA208)&gt;32,MIN(SUM($U208:AA208),35)-32-SUM($U209:Z209),0),0)</f>
        <v>0</v>
      </c>
      <c r="AB209" s="60">
        <f t="shared" si="461"/>
        <v>0</v>
      </c>
      <c r="AC209" s="60"/>
      <c r="AD209" s="66">
        <f>IF(AD203&lt;&gt;"Dim",IF(AD208&gt;32,MIN(AD208,35)-32,0),0)</f>
        <v>0</v>
      </c>
      <c r="AE209" s="66">
        <f>IF(AE203&lt;&gt;"Dim",IF(SUM($AD208:AE208)&gt;32,MIN(SUM($AD208:AE208),35)-32-SUM($AD209:AD209),0),0)</f>
        <v>0</v>
      </c>
      <c r="AF209" s="66">
        <f>IF(AF203&lt;&gt;"Dim",IF(SUM($AD208:AF208)&gt;32,MIN(SUM($AD208:AF208),35)-32-SUM($AD209:AE209),0),0)</f>
        <v>0</v>
      </c>
      <c r="AG209" s="66">
        <f>IF(AG203&lt;&gt;"Dim",IF(SUM($AD208:AG208)&gt;32,MIN(SUM($AD208:AG208),35)-32-SUM($AD209:AF209),0),0)</f>
        <v>0</v>
      </c>
      <c r="AH209" s="66">
        <f>IF(AH203&lt;&gt;"Dim",IF(SUM($AD208:AH208)&gt;32,MIN(SUM($AD208:AH208),35)-32-SUM($AD209:AG209),0),0)</f>
        <v>0</v>
      </c>
      <c r="AI209" s="66">
        <f>IF(AI203&lt;&gt;"Dim",IF(SUM($AD208:AI208)&gt;32,MIN(SUM($AD208:AI208),35)-32-SUM($AD209:AH209),0),0)</f>
        <v>0</v>
      </c>
      <c r="AJ209" s="66">
        <f>IF(AJ203&lt;&gt;"Dim",IF(SUM($AD208:AJ208)&gt;32,MIN(SUM($AD208:AJ208),35)-32-SUM($AD209:AI209),0),0)</f>
        <v>0</v>
      </c>
      <c r="AK209" s="60">
        <f t="shared" si="463"/>
        <v>0</v>
      </c>
      <c r="AL209" s="60"/>
      <c r="AM209" s="66">
        <f>IF(AM203&lt;&gt;"Dim",IF(AM208&gt;32,MIN(AM208,35)-32,0),0)</f>
        <v>0</v>
      </c>
      <c r="AN209" s="66">
        <f>IF(AN203&lt;&gt;"Dim",IF(SUM($AM208:AN208)&gt;32,MIN(SUM($AM208:AN208),35)-32-SUM($AM209:AM209),0),0)</f>
        <v>0</v>
      </c>
      <c r="AO209" s="66">
        <f>IF(AO203&lt;&gt;"Dim",IF(SUM($AM208:AO208)&gt;32,MIN(SUM($AM208:AO208),35)-32-SUM($AM209:AN209),0),0)</f>
        <v>0</v>
      </c>
      <c r="AP209" s="66">
        <f>IF(AP203&lt;&gt;"Dim",IF(SUM($AM208:AP208)&gt;32,MIN(SUM($AM208:AP208),35)-32-SUM($AM209:AO209),0),0)</f>
        <v>0</v>
      </c>
      <c r="AQ209" s="66">
        <f>IF(AQ203&lt;&gt;"Dim",IF(SUM($AM208:AQ208)&gt;32,MIN(SUM($AM208:AQ208),35)-32-SUM($AM209:AP209),0),0)</f>
        <v>3</v>
      </c>
      <c r="AR209" s="66">
        <f>IF(AR203&lt;&gt;"Dim",IF(SUM($AM208:AR208)&gt;32,MIN(SUM($AM208:AR208),35)-32-SUM($AM209:AQ209),0),0)</f>
        <v>0</v>
      </c>
      <c r="AS209" s="66">
        <f>IF(AS203&lt;&gt;"Dim",IF(SUM($AM208:AS208)&gt;32,MIN(SUM($AM208:AS208),35)-32-SUM($AM209:AR209),0),0)</f>
        <v>0</v>
      </c>
      <c r="AT209" s="60">
        <f t="shared" si="465"/>
        <v>3</v>
      </c>
      <c r="AU209" s="60"/>
      <c r="AV209" s="66">
        <f>IF(AV203&lt;&gt;"Dim",IF(AV208&gt;32,MIN(AV208,35)-32,0),0)</f>
        <v>0</v>
      </c>
      <c r="AW209" s="66">
        <f>IF(AW203&lt;&gt;"Dim",IF(SUM($AV208:AW208)&gt;32,MIN(SUM($AV208:AW208),35)-32-SUM($AV209:AV209),0),0)</f>
        <v>0</v>
      </c>
      <c r="AX209" s="60">
        <f t="shared" si="455"/>
        <v>0</v>
      </c>
      <c r="AY209" s="60">
        <f t="shared" si="467"/>
        <v>3</v>
      </c>
    </row>
    <row r="210" spans="1:58" x14ac:dyDescent="0.25">
      <c r="A210" s="21" t="s">
        <v>6</v>
      </c>
      <c r="B210" s="81"/>
      <c r="C210" s="66">
        <f>IF(C203&lt;&gt;"Dim",IF(C208&gt;35,(MIN(C208,43)-35),0),0)</f>
        <v>0</v>
      </c>
      <c r="D210" s="66">
        <f>IF(D203&lt;&gt;"Dim",IF(SUM($C208:D208)&gt;35,(MIN(SUM($C208:D208),43)-35-SUM($C210:C210)),0),0)</f>
        <v>0</v>
      </c>
      <c r="E210" s="66">
        <f>IF(E203&lt;&gt;"Dim",IF(SUM($C208:E208)&gt;35,(MIN(SUM($C208:E208),43)-35-SUM($C210:D210)),0),0)</f>
        <v>0</v>
      </c>
      <c r="F210" s="66">
        <f>IF(F203&lt;&gt;"Dim",IF(SUM($C208:F208)&gt;35,(MIN(SUM($C208:F208),43)-35-SUM($C210:E210)),0),0)</f>
        <v>0</v>
      </c>
      <c r="G210" s="66">
        <f>IF(G203&lt;&gt;"Dim",IF(SUM($C208:G208)&gt;35,(MIN(SUM($C208:G208),43)-35-SUM($C210:F210)),0),0)</f>
        <v>0</v>
      </c>
      <c r="H210" s="66">
        <f>IF(H203&lt;&gt;"Dim",IF(SUM($C208:H208)&gt;35,(MIN(SUM($C208:H208),43)-35-SUM($C210:G210)),0),0)</f>
        <v>0</v>
      </c>
      <c r="I210" s="66">
        <f>IF(I203&lt;&gt;"Dim",IF(SUM($C208:I208)&gt;35,(MIN(SUM($C208:I208),43)-35-SUM($C210:H210)),0),0)</f>
        <v>0</v>
      </c>
      <c r="J210" s="60">
        <f t="shared" si="457"/>
        <v>0</v>
      </c>
      <c r="K210" s="60"/>
      <c r="L210" s="66">
        <f>IF(L203&lt;&gt;"Dim",IF(L208&gt;35,(MIN(L208,43)-35),0),0)</f>
        <v>0</v>
      </c>
      <c r="M210" s="66">
        <f>IF(M203&lt;&gt;"Dim",IF(SUM($L208:M208)&gt;35,(MIN(SUM($L208:M208),43)-35-SUM($L210:L210)),0),0)</f>
        <v>0</v>
      </c>
      <c r="N210" s="66">
        <f>IF(N203&lt;&gt;"Dim",IF(SUM($L208:N208)&gt;35,(MIN(SUM($L208:N208),43)-35-SUM($L210:M210)),0),0)</f>
        <v>0</v>
      </c>
      <c r="O210" s="66">
        <f>IF(O203&lt;&gt;"Dim",IF(SUM($L208:O208)&gt;35,(MIN(SUM($L208:O208),43)-35-SUM($L210:N210)),0),0)</f>
        <v>0</v>
      </c>
      <c r="P210" s="66">
        <f>IF(P203&lt;&gt;"Dim",IF(SUM($L208:P208)&gt;35,(MIN(SUM($L208:P208),43)-35-SUM($L210:O210)),0),0)</f>
        <v>0</v>
      </c>
      <c r="Q210" s="66">
        <f>IF(Q203&lt;&gt;"Dim",IF(SUM($L208:Q208)&gt;35,(MIN(SUM($L208:Q208),43)-35-SUM($L210:P210)),0),0)</f>
        <v>0</v>
      </c>
      <c r="R210" s="66">
        <f>IF(R203&lt;&gt;"Dim",IF(SUM($L208:R208)&gt;35,(MIN(SUM($L208:R208),43)-35-SUM($L210:Q210)),0),0)</f>
        <v>0</v>
      </c>
      <c r="S210" s="60">
        <f t="shared" si="459"/>
        <v>0</v>
      </c>
      <c r="T210" s="60"/>
      <c r="U210" s="66">
        <f>IF(U203&lt;&gt;"Dim",IF(U208&gt;35,(MIN(U208,43)-35),0),0)</f>
        <v>0</v>
      </c>
      <c r="V210" s="66">
        <f>IF(V203&lt;&gt;"Dim",IF(SUM($U208:V208)&gt;35,(MIN(SUM($U208:V208),43)-35-SUM($U210:U210)),0),0)</f>
        <v>0</v>
      </c>
      <c r="W210" s="66">
        <f>IF(W203&lt;&gt;"Dim",IF(SUM($U208:W208)&gt;35,(MIN(SUM($U208:W208),43)-35-SUM($U210:V210)),0),0)</f>
        <v>0</v>
      </c>
      <c r="X210" s="66">
        <f>IF(X203&lt;&gt;"Dim",IF(SUM($U208:X208)&gt;35,(MIN(SUM($U208:X208),43)-35-SUM($U210:W210)),0),0)</f>
        <v>0</v>
      </c>
      <c r="Y210" s="66">
        <f>IF(Y203&lt;&gt;"Dim",IF(SUM($U208:Y208)&gt;35,(MIN(SUM($U208:Y208),43)-35-SUM($U210:X210)),0),0)</f>
        <v>0</v>
      </c>
      <c r="Z210" s="66">
        <f>IF(Z203&lt;&gt;"Dim",IF(SUM($U208:Z208)&gt;35,(MIN(SUM($U208:Z208),43)-35-SUM($U210:Y210)),0),0)</f>
        <v>0</v>
      </c>
      <c r="AA210" s="66">
        <f>IF(AA203&lt;&gt;"Dim",IF(SUM($U208:AA208)&gt;35,(MIN(SUM($U208:AA208),43)-35-SUM($U210:Z210)),0),0)</f>
        <v>0</v>
      </c>
      <c r="AB210" s="60">
        <f t="shared" si="461"/>
        <v>0</v>
      </c>
      <c r="AC210" s="60"/>
      <c r="AD210" s="66">
        <f>IF(AD203&lt;&gt;"Dim",IF(AD208&gt;35,(MIN(AD208,43)-35),0),0)</f>
        <v>0</v>
      </c>
      <c r="AE210" s="66">
        <f>IF(AE203&lt;&gt;"Dim",IF(SUM($AD208:AE208)&gt;35,(MIN(SUM($AD208:AE208),43)-35-SUM($AD210:AD210)),0),0)</f>
        <v>0</v>
      </c>
      <c r="AF210" s="66">
        <f>IF(AF203&lt;&gt;"Dim",IF(SUM($AD208:AF208)&gt;35,(MIN(SUM($AD208:AF208),43)-35-SUM($AD210:AE210)),0),0)</f>
        <v>0</v>
      </c>
      <c r="AG210" s="66">
        <f>IF(AG203&lt;&gt;"Dim",IF(SUM($AD208:AG208)&gt;35,(MIN(SUM($AD208:AG208),43)-35-SUM($AD210:AF210)),0),0)</f>
        <v>0</v>
      </c>
      <c r="AH210" s="66">
        <f>IF(AH203&lt;&gt;"Dim",IF(SUM($AD208:AH208)&gt;35,(MIN(SUM($AD208:AH208),43)-35-SUM($AD210:AG210)),0),0)</f>
        <v>0</v>
      </c>
      <c r="AI210" s="66">
        <f>IF(AI203&lt;&gt;"Dim",IF(SUM($AD208:AI208)&gt;35,(MIN(SUM($AD208:AI208),43)-35-SUM($AD210:AH210)),0),0)</f>
        <v>0</v>
      </c>
      <c r="AJ210" s="66">
        <f>IF(AJ203&lt;&gt;"Dim",IF(SUM($AD208:AJ208)&gt;35,(MIN(SUM($AD208:AJ208),43)-35-SUM($AD210:AI210)),0),0)</f>
        <v>0</v>
      </c>
      <c r="AK210" s="60">
        <f t="shared" si="463"/>
        <v>0</v>
      </c>
      <c r="AL210" s="60"/>
      <c r="AM210" s="66">
        <f>IF(AM203&lt;&gt;"Dim",IF(AM208&gt;35,(MIN(AM208,43)-35),0),0)</f>
        <v>0</v>
      </c>
      <c r="AN210" s="66">
        <f>IF(AN203&lt;&gt;"Dim",IF(SUM($AM208:AN208)&gt;35,(MIN(SUM($AM208:AN208),43)-35-SUM($AM210:AM210)),0),0)</f>
        <v>0</v>
      </c>
      <c r="AO210" s="66">
        <f>IF(AO203&lt;&gt;"Dim",IF(SUM($AM208:AO208)&gt;35,(MIN(SUM($AM208:AO208),43)-35-SUM($AM210:AN210)),0),0)</f>
        <v>0</v>
      </c>
      <c r="AP210" s="66">
        <f>IF(AP203&lt;&gt;"Dim",IF(SUM($AM208:AP208)&gt;35,(MIN(SUM($AM208:AP208),43)-35-SUM($AM210:AO210)),0),0)</f>
        <v>0</v>
      </c>
      <c r="AQ210" s="66">
        <f>IF(AQ203&lt;&gt;"Dim",IF(SUM($AM208:AQ208)&gt;35,(MIN(SUM($AM208:AQ208),43)-35-SUM($AM210:AP210)),0),0)</f>
        <v>5</v>
      </c>
      <c r="AR210" s="66">
        <f>IF(AR203&lt;&gt;"Dim",IF(SUM($AM208:AR208)&gt;35,(MIN(SUM($AM208:AR208),43)-35-SUM($AM210:AQ210)),0),0)</f>
        <v>0</v>
      </c>
      <c r="AS210" s="66">
        <f>IF(AS203&lt;&gt;"Dim",IF(SUM($AM208:AS208)&gt;35,(MIN(SUM($AM208:AS208),43)-35-SUM($AM210:AR210)),0),0)</f>
        <v>0</v>
      </c>
      <c r="AT210" s="60">
        <f t="shared" si="465"/>
        <v>5</v>
      </c>
      <c r="AU210" s="60"/>
      <c r="AV210" s="66">
        <f>IF(AV203&lt;&gt;"Dim",IF(AV208&gt;35,(MIN(AV208,43)-35),0),0)</f>
        <v>0</v>
      </c>
      <c r="AW210" s="66">
        <f>IF(AW203&lt;&gt;"Dim",IF(SUM($AV208:AW208)&gt;35,(MIN(SUM($AV208:AW208),43)-35-SUM($AV210:AV210)),0),0)</f>
        <v>0</v>
      </c>
      <c r="AX210" s="60">
        <f t="shared" si="455"/>
        <v>0</v>
      </c>
      <c r="AY210" s="60">
        <f t="shared" si="467"/>
        <v>5</v>
      </c>
    </row>
    <row r="211" spans="1:58" x14ac:dyDescent="0.25">
      <c r="A211" s="21" t="s">
        <v>5</v>
      </c>
      <c r="B211" s="81"/>
      <c r="C211" s="66">
        <f>IF(C203&lt;&gt;"Dim",IF(C208&gt;43,(MIN(C208,48)-43),0),0)</f>
        <v>0</v>
      </c>
      <c r="D211" s="66">
        <f>IF(D203&lt;&gt;"Dim",IF(SUM($C208:D208)&gt;43,(MIN(SUM($C208:D208),48)-43-SUM($C211:C211)),0),0)</f>
        <v>0</v>
      </c>
      <c r="E211" s="66">
        <f>IF(E203&lt;&gt;"Dim",IF(SUM($C208:E208)&gt;43,(MIN(SUM($C208:E208),48)-43-SUM($C211:D211)),0),0)</f>
        <v>0</v>
      </c>
      <c r="F211" s="66">
        <f>IF(F203&lt;&gt;"Dim",IF(SUM($C208:F208)&gt;43,(MIN(SUM($C208:F208),48)-43-SUM($C211:E211)),0),0)</f>
        <v>0</v>
      </c>
      <c r="G211" s="66">
        <f>IF(G203&lt;&gt;"Dim",IF(SUM($C208:G208)&gt;43,(MIN(SUM($C208:G208),48)-43-SUM($C211:F211)),0),0)</f>
        <v>0</v>
      </c>
      <c r="H211" s="66">
        <f>IF(H203&lt;&gt;"Dim",IF(SUM($C208:H208)&gt;43,(MIN(SUM($C208:H208),48)-43-SUM($C211:G211)),0),0)</f>
        <v>0</v>
      </c>
      <c r="I211" s="66">
        <f>IF(I203&lt;&gt;"Dim",IF(SUM($C208:I208)&gt;43,(MIN(SUM($C208:I208),48)-43-SUM($C211:H211)),0),0)</f>
        <v>0</v>
      </c>
      <c r="J211" s="60">
        <f t="shared" si="457"/>
        <v>0</v>
      </c>
      <c r="K211" s="60"/>
      <c r="L211" s="66">
        <f>IF(L203&lt;&gt;"Dim",IF(L208&gt;43,(MIN(L208,48)-43),0),0)</f>
        <v>0</v>
      </c>
      <c r="M211" s="66">
        <f>IF(M203&lt;&gt;"Dim",IF(SUM($L208:M208)&gt;43,(MIN(SUM($L208:M208),48)-43-SUM($L211:L211)),0),0)</f>
        <v>0</v>
      </c>
      <c r="N211" s="66">
        <f>IF(N203&lt;&gt;"Dim",IF(SUM($L208:N208)&gt;43,(MIN(SUM($L208:N208),48)-43-SUM($L211:M211)),0),0)</f>
        <v>0</v>
      </c>
      <c r="O211" s="66">
        <f>IF(O203&lt;&gt;"Dim",IF(SUM($L208:O208)&gt;43,(MIN(SUM($L208:O208),48)-43-SUM($L211:N211)),0),0)</f>
        <v>0</v>
      </c>
      <c r="P211" s="66">
        <f>IF(P203&lt;&gt;"Dim",IF(SUM($L208:P208)&gt;43,(MIN(SUM($L208:P208),48)-43-SUM($L211:O211)),0),0)</f>
        <v>0</v>
      </c>
      <c r="Q211" s="66">
        <f>IF(Q203&lt;&gt;"Dim",IF(SUM($L208:Q208)&gt;43,(MIN(SUM($L208:Q208),48)-43-SUM($L211:P211)),0),0)</f>
        <v>0</v>
      </c>
      <c r="R211" s="66">
        <f>IF(R203&lt;&gt;"Dim",IF(SUM($L208:R208)&gt;43,(MIN(SUM($L208:R208),48)-43-SUM($L211:Q211)),0),0)</f>
        <v>0</v>
      </c>
      <c r="S211" s="60">
        <f t="shared" si="459"/>
        <v>0</v>
      </c>
      <c r="T211" s="60"/>
      <c r="U211" s="66">
        <f>IF(U203&lt;&gt;"Dim",IF(U208&gt;43,(MIN(U208,48)-43),0),0)</f>
        <v>0</v>
      </c>
      <c r="V211" s="66">
        <f>IF(V203&lt;&gt;"Dim",IF(SUM($U208:V208)&gt;43,(MIN(SUM($U208:V208),48)-43-SUM($U211:U211)),0),0)</f>
        <v>0</v>
      </c>
      <c r="W211" s="66">
        <f>IF(W203&lt;&gt;"Dim",IF(SUM($U208:W208)&gt;43,(MIN(SUM($U208:W208),48)-43-SUM($U211:V211)),0),0)</f>
        <v>0</v>
      </c>
      <c r="X211" s="66">
        <f>IF(X203&lt;&gt;"Dim",IF(SUM($U208:X208)&gt;43,(MIN(SUM($U208:X208),48)-43-SUM($U211:W211)),0),0)</f>
        <v>0</v>
      </c>
      <c r="Y211" s="66">
        <f>IF(Y203&lt;&gt;"Dim",IF(SUM($U208:Y208)&gt;43,(MIN(SUM($U208:Y208),48)-43-SUM($U211:X211)),0),0)</f>
        <v>0</v>
      </c>
      <c r="Z211" s="66">
        <f>IF(Z203&lt;&gt;"Dim",IF(SUM($U208:Z208)&gt;43,(MIN(SUM($U208:Z208),48)-43-SUM($U211:Y211)),0),0)</f>
        <v>0</v>
      </c>
      <c r="AA211" s="66">
        <f>IF(AA203&lt;&gt;"Dim",IF(SUM($U208:AA208)&gt;43,(MIN(SUM($U208:AA208),48)-43-SUM($U211:Z211)),0),0)</f>
        <v>0</v>
      </c>
      <c r="AB211" s="60">
        <f t="shared" si="461"/>
        <v>0</v>
      </c>
      <c r="AC211" s="60"/>
      <c r="AD211" s="66">
        <f>IF(AD203&lt;&gt;"Dim",IF(AD208&gt;43,(MIN(AD208,48)-43),0),0)</f>
        <v>0</v>
      </c>
      <c r="AE211" s="66">
        <f>IF(AE203&lt;&gt;"Dim",IF(SUM($AD208:AE208)&gt;43,(MIN(SUM($AD208:AE208),48)-43-SUM($AD211:AD211)),0),0)</f>
        <v>0</v>
      </c>
      <c r="AF211" s="66">
        <f>IF(AF203&lt;&gt;"Dim",IF(SUM($AD208:AF208)&gt;43,(MIN(SUM($AD208:AF208),48)-43-SUM($AD211:AE211)),0),0)</f>
        <v>0</v>
      </c>
      <c r="AG211" s="66">
        <f>IF(AG203&lt;&gt;"Dim",IF(SUM($AD208:AG208)&gt;43,(MIN(SUM($AD208:AG208),48)-43-SUM($AD211:AF211)),0),0)</f>
        <v>0</v>
      </c>
      <c r="AH211" s="66">
        <f>IF(AH203&lt;&gt;"Dim",IF(SUM($AD208:AH208)&gt;43,(MIN(SUM($AD208:AH208),48)-43-SUM($AD211:AG211)),0),0)</f>
        <v>0</v>
      </c>
      <c r="AI211" s="66">
        <f>IF(AI203&lt;&gt;"Dim",IF(SUM($AD208:AI208)&gt;43,(MIN(SUM($AD208:AI208),48)-43-SUM($AD211:AH211)),0),0)</f>
        <v>0</v>
      </c>
      <c r="AJ211" s="66">
        <f>IF(AJ203&lt;&gt;"Dim",IF(SUM($AD208:AJ208)&gt;43,(MIN(SUM($AD208:AJ208),48)-43-SUM($AD211:AI211)),0),0)</f>
        <v>0</v>
      </c>
      <c r="AK211" s="60">
        <f t="shared" si="463"/>
        <v>0</v>
      </c>
      <c r="AL211" s="60"/>
      <c r="AM211" s="66">
        <f>IF(AM203&lt;&gt;"Dim",IF(AM208&gt;43,(MIN(AM208,48)-43),0),0)</f>
        <v>0</v>
      </c>
      <c r="AN211" s="66">
        <f>IF(AN203&lt;&gt;"Dim",IF(SUM($AM208:AN208)&gt;43,(MIN(SUM($AM208:AN208),48)-43-SUM($AM211:AM211)),0),0)</f>
        <v>0</v>
      </c>
      <c r="AO211" s="66">
        <f>IF(AO203&lt;&gt;"Dim",IF(SUM($AM208:AO208)&gt;43,(MIN(SUM($AM208:AO208),48)-43-SUM($AM211:AN211)),0),0)</f>
        <v>0</v>
      </c>
      <c r="AP211" s="66">
        <f>IF(AP203&lt;&gt;"Dim",IF(SUM($AM208:AP208)&gt;43,(MIN(SUM($AM208:AP208),48)-43-SUM($AM211:AO211)),0),0)</f>
        <v>0</v>
      </c>
      <c r="AQ211" s="66">
        <f>IF(AQ203&lt;&gt;"Dim",IF(SUM($AM208:AQ208)&gt;43,(MIN(SUM($AM208:AQ208),48)-43-SUM($AM211:AP211)),0),0)</f>
        <v>0</v>
      </c>
      <c r="AR211" s="66">
        <f>IF(AR203&lt;&gt;"Dim",IF(SUM($AM208:AR208)&gt;43,(MIN(SUM($AM208:AR208),48)-43-SUM($AM211:AQ211)),0),0)</f>
        <v>0</v>
      </c>
      <c r="AS211" s="66">
        <f>IF(AS203&lt;&gt;"Dim",IF(SUM($AM208:AS208)&gt;43,(MIN(SUM($AM208:AS208),48)-43-SUM($AM211:AR211)),0),0)</f>
        <v>0</v>
      </c>
      <c r="AT211" s="60">
        <f t="shared" si="465"/>
        <v>0</v>
      </c>
      <c r="AU211" s="60"/>
      <c r="AV211" s="66">
        <f>IF(AV203&lt;&gt;"Dim",IF(AV208&gt;43,(MIN(AV208,48)-43),0),0)</f>
        <v>0</v>
      </c>
      <c r="AW211" s="66">
        <f>IF(AW203&lt;&gt;"Dim",IF(SUM($AV208:AW208)&gt;43,(MIN(SUM($AV208:AW208),48)-43-SUM($AV211:AV211)),0),0)</f>
        <v>0</v>
      </c>
      <c r="AX211" s="60">
        <f t="shared" si="455"/>
        <v>0</v>
      </c>
      <c r="AY211" s="60">
        <f t="shared" si="467"/>
        <v>0</v>
      </c>
    </row>
    <row r="212" spans="1:58" x14ac:dyDescent="0.25">
      <c r="A212" s="21" t="s">
        <v>7</v>
      </c>
      <c r="B212" s="81"/>
      <c r="C212" s="66">
        <f>IF(C203="Dim",C208,IF(C218="ferie",C208,0))</f>
        <v>0</v>
      </c>
      <c r="D212" s="66">
        <f t="shared" ref="D212:I212" si="474">IF(D203="Dim",D208,IF(D218="ferie",D208,0))</f>
        <v>0</v>
      </c>
      <c r="E212" s="66">
        <f t="shared" si="474"/>
        <v>0</v>
      </c>
      <c r="F212" s="66">
        <f t="shared" si="474"/>
        <v>0</v>
      </c>
      <c r="G212" s="66">
        <f t="shared" si="474"/>
        <v>0</v>
      </c>
      <c r="H212" s="66">
        <f t="shared" si="474"/>
        <v>0</v>
      </c>
      <c r="I212" s="66">
        <f t="shared" si="474"/>
        <v>0</v>
      </c>
      <c r="J212" s="60">
        <f t="shared" si="457"/>
        <v>0</v>
      </c>
      <c r="K212" s="60"/>
      <c r="L212" s="66">
        <f>IF(L203="Dim",L208,IF(L218="ferie",L208,0))</f>
        <v>0</v>
      </c>
      <c r="M212" s="66">
        <f t="shared" ref="M212:R212" si="475">IF(M203="Dim",M208,IF(M218="ferie",M208,0))</f>
        <v>0</v>
      </c>
      <c r="N212" s="66">
        <f t="shared" si="475"/>
        <v>0</v>
      </c>
      <c r="O212" s="66">
        <f t="shared" si="475"/>
        <v>0</v>
      </c>
      <c r="P212" s="66">
        <f t="shared" si="475"/>
        <v>0</v>
      </c>
      <c r="Q212" s="66">
        <f>IF(Q203="Dim",Q208,IF(Q218="ferie",Q208,0))</f>
        <v>0</v>
      </c>
      <c r="R212" s="66">
        <f t="shared" si="475"/>
        <v>0</v>
      </c>
      <c r="S212" s="60">
        <f t="shared" si="459"/>
        <v>0</v>
      </c>
      <c r="T212" s="60"/>
      <c r="U212" s="66">
        <f>IF(U203="Dim",U208,IF(U218="ferie",U208,0))</f>
        <v>0</v>
      </c>
      <c r="V212" s="66">
        <f t="shared" ref="V212:AA212" si="476">IF(V203="Dim",V208,IF(V218="ferie",V208,0))</f>
        <v>0</v>
      </c>
      <c r="W212" s="66">
        <f t="shared" si="476"/>
        <v>0</v>
      </c>
      <c r="X212" s="66">
        <f t="shared" si="476"/>
        <v>0</v>
      </c>
      <c r="Y212" s="66">
        <f t="shared" si="476"/>
        <v>0</v>
      </c>
      <c r="Z212" s="66">
        <f t="shared" si="476"/>
        <v>0</v>
      </c>
      <c r="AA212" s="66">
        <f t="shared" si="476"/>
        <v>0</v>
      </c>
      <c r="AB212" s="60">
        <f t="shared" si="461"/>
        <v>0</v>
      </c>
      <c r="AC212" s="60"/>
      <c r="AD212" s="66">
        <f>IF(AD203="Dim",AD208,IF(AD218="ferie",AD208,0))</f>
        <v>0</v>
      </c>
      <c r="AE212" s="66">
        <f t="shared" ref="AE212:AJ212" si="477">IF(AE203="Dim",AE208,IF(AE218="ferie",AE208,0))</f>
        <v>0</v>
      </c>
      <c r="AF212" s="66">
        <f t="shared" si="477"/>
        <v>0</v>
      </c>
      <c r="AG212" s="66">
        <f t="shared" si="477"/>
        <v>0</v>
      </c>
      <c r="AH212" s="66">
        <f t="shared" si="477"/>
        <v>0</v>
      </c>
      <c r="AI212" s="66">
        <f t="shared" si="477"/>
        <v>0</v>
      </c>
      <c r="AJ212" s="66">
        <f t="shared" si="477"/>
        <v>0</v>
      </c>
      <c r="AK212" s="60">
        <f t="shared" si="463"/>
        <v>0</v>
      </c>
      <c r="AL212" s="60"/>
      <c r="AM212" s="66">
        <f>IF(AM203="Dim",AM208,IF(AM218="ferie",AM208,0))</f>
        <v>0</v>
      </c>
      <c r="AN212" s="66">
        <f t="shared" ref="AN212:AW212" si="478">IF(AN203="Dim",AN208,IF(AN218="ferie",AN208,0))</f>
        <v>0</v>
      </c>
      <c r="AO212" s="66">
        <f t="shared" si="478"/>
        <v>0</v>
      </c>
      <c r="AP212" s="66">
        <f t="shared" si="478"/>
        <v>0</v>
      </c>
      <c r="AQ212" s="66">
        <f t="shared" si="478"/>
        <v>0</v>
      </c>
      <c r="AR212" s="66">
        <f t="shared" si="478"/>
        <v>0</v>
      </c>
      <c r="AS212" s="66">
        <f t="shared" si="478"/>
        <v>0</v>
      </c>
      <c r="AT212" s="60">
        <f>SUM(AM212:AS212)</f>
        <v>0</v>
      </c>
      <c r="AU212" s="60"/>
      <c r="AV212" s="66">
        <f>IF(AV203="Dim",AV208,IF(AV218="ferie",AV208,0))</f>
        <v>0</v>
      </c>
      <c r="AW212" s="66">
        <f t="shared" si="478"/>
        <v>0</v>
      </c>
      <c r="AX212" s="60">
        <f t="shared" si="455"/>
        <v>0</v>
      </c>
      <c r="AY212" s="60">
        <f t="shared" si="467"/>
        <v>0</v>
      </c>
    </row>
    <row r="213" spans="1:58" x14ac:dyDescent="0.25">
      <c r="A213" s="21" t="s">
        <v>8</v>
      </c>
      <c r="B213" s="81"/>
      <c r="C213" s="31"/>
      <c r="D213" s="31"/>
      <c r="E213" s="31"/>
      <c r="F213" s="31"/>
      <c r="G213" s="31"/>
      <c r="H213" s="31"/>
      <c r="I213" s="31"/>
      <c r="J213" s="60">
        <f t="shared" si="457"/>
        <v>0</v>
      </c>
      <c r="K213" s="60"/>
      <c r="L213" s="31"/>
      <c r="M213" s="31"/>
      <c r="N213" s="31"/>
      <c r="O213" s="31"/>
      <c r="P213" s="31"/>
      <c r="Q213" s="31"/>
      <c r="R213" s="31"/>
      <c r="S213" s="60">
        <f t="shared" si="459"/>
        <v>0</v>
      </c>
      <c r="T213" s="60"/>
      <c r="U213" s="31"/>
      <c r="V213" s="31"/>
      <c r="W213" s="31"/>
      <c r="X213" s="31"/>
      <c r="Y213" s="31"/>
      <c r="Z213" s="31"/>
      <c r="AA213" s="31"/>
      <c r="AB213" s="60">
        <f t="shared" si="461"/>
        <v>0</v>
      </c>
      <c r="AC213" s="60"/>
      <c r="AD213" s="31"/>
      <c r="AE213" s="31"/>
      <c r="AF213" s="31"/>
      <c r="AG213" s="31"/>
      <c r="AH213" s="31"/>
      <c r="AI213" s="31"/>
      <c r="AJ213" s="31"/>
      <c r="AK213" s="60">
        <f t="shared" si="463"/>
        <v>0</v>
      </c>
      <c r="AL213" s="60"/>
      <c r="AM213" s="31"/>
      <c r="AN213" s="31"/>
      <c r="AO213" s="31"/>
      <c r="AP213" s="31"/>
      <c r="AQ213" s="31"/>
      <c r="AR213" s="31"/>
      <c r="AS213" s="31"/>
      <c r="AT213" s="60">
        <f t="shared" si="465"/>
        <v>0</v>
      </c>
      <c r="AU213" s="60"/>
      <c r="AV213" s="31"/>
      <c r="AW213" s="31"/>
      <c r="AX213" s="60">
        <f t="shared" si="455"/>
        <v>0</v>
      </c>
      <c r="AY213" s="60">
        <f t="shared" si="467"/>
        <v>0</v>
      </c>
    </row>
    <row r="214" spans="1:58" x14ac:dyDescent="0.25">
      <c r="A214" s="36" t="s">
        <v>9</v>
      </c>
      <c r="B214" s="82"/>
      <c r="C214" s="31"/>
      <c r="D214" s="31"/>
      <c r="E214" s="31"/>
      <c r="F214" s="31"/>
      <c r="G214" s="31"/>
      <c r="H214" s="31"/>
      <c r="I214" s="31"/>
      <c r="J214" s="60">
        <f t="shared" si="457"/>
        <v>0</v>
      </c>
      <c r="K214" s="60"/>
      <c r="L214" s="31"/>
      <c r="M214" s="31"/>
      <c r="N214" s="31"/>
      <c r="O214" s="31"/>
      <c r="P214" s="31"/>
      <c r="Q214" s="31"/>
      <c r="R214" s="31"/>
      <c r="S214" s="60">
        <f t="shared" si="459"/>
        <v>0</v>
      </c>
      <c r="T214" s="60"/>
      <c r="U214" s="31"/>
      <c r="V214" s="31"/>
      <c r="W214" s="31"/>
      <c r="X214" s="31"/>
      <c r="Y214" s="31"/>
      <c r="Z214" s="31"/>
      <c r="AA214" s="31"/>
      <c r="AB214" s="60">
        <f t="shared" si="461"/>
        <v>0</v>
      </c>
      <c r="AC214" s="60"/>
      <c r="AD214" s="31"/>
      <c r="AE214" s="31"/>
      <c r="AF214" s="31"/>
      <c r="AG214" s="31"/>
      <c r="AH214" s="31"/>
      <c r="AI214" s="31"/>
      <c r="AJ214" s="31"/>
      <c r="AK214" s="60">
        <f t="shared" si="463"/>
        <v>0</v>
      </c>
      <c r="AL214" s="60"/>
      <c r="AM214" s="31"/>
      <c r="AN214" s="31"/>
      <c r="AO214" s="31"/>
      <c r="AP214" s="31"/>
      <c r="AQ214" s="31"/>
      <c r="AR214" s="31"/>
      <c r="AS214" s="31"/>
      <c r="AT214" s="60">
        <f t="shared" si="465"/>
        <v>0</v>
      </c>
      <c r="AU214" s="60"/>
      <c r="AV214" s="31"/>
      <c r="AW214" s="31"/>
      <c r="AX214" s="60">
        <f t="shared" ref="AX214:AX216" si="479">SUM(AV214:AW214)</f>
        <v>0</v>
      </c>
      <c r="AY214" s="60">
        <f t="shared" si="467"/>
        <v>0</v>
      </c>
    </row>
    <row r="215" spans="1:58" x14ac:dyDescent="0.25">
      <c r="A215" s="21" t="s">
        <v>11</v>
      </c>
      <c r="B215" s="81"/>
      <c r="C215" s="31"/>
      <c r="D215" s="31"/>
      <c r="E215" s="31"/>
      <c r="F215" s="31"/>
      <c r="G215" s="31"/>
      <c r="H215" s="31"/>
      <c r="I215" s="31"/>
      <c r="J215" s="60">
        <f t="shared" si="457"/>
        <v>0</v>
      </c>
      <c r="K215" s="60"/>
      <c r="L215" s="31"/>
      <c r="M215" s="31"/>
      <c r="N215" s="31"/>
      <c r="O215" s="31"/>
      <c r="P215" s="31"/>
      <c r="Q215" s="31"/>
      <c r="R215" s="31"/>
      <c r="S215" s="60">
        <f t="shared" si="459"/>
        <v>0</v>
      </c>
      <c r="T215" s="60"/>
      <c r="U215" s="31"/>
      <c r="V215" s="31"/>
      <c r="W215" s="31"/>
      <c r="X215" s="31"/>
      <c r="Y215" s="31"/>
      <c r="Z215" s="31"/>
      <c r="AA215" s="31"/>
      <c r="AB215" s="60">
        <f t="shared" si="461"/>
        <v>0</v>
      </c>
      <c r="AC215" s="60"/>
      <c r="AD215" s="31"/>
      <c r="AE215" s="31"/>
      <c r="AF215" s="31"/>
      <c r="AG215" s="31"/>
      <c r="AH215" s="31"/>
      <c r="AI215" s="31"/>
      <c r="AJ215" s="31"/>
      <c r="AK215" s="60">
        <f t="shared" si="463"/>
        <v>0</v>
      </c>
      <c r="AL215" s="60"/>
      <c r="AM215" s="31"/>
      <c r="AN215" s="31"/>
      <c r="AO215" s="31"/>
      <c r="AP215" s="31"/>
      <c r="AQ215" s="31"/>
      <c r="AR215" s="31"/>
      <c r="AS215" s="31"/>
      <c r="AT215" s="60">
        <f t="shared" si="465"/>
        <v>0</v>
      </c>
      <c r="AU215" s="60"/>
      <c r="AV215" s="31"/>
      <c r="AW215" s="31"/>
      <c r="AX215" s="60">
        <f t="shared" si="479"/>
        <v>0</v>
      </c>
      <c r="AY215" s="60">
        <f t="shared" si="467"/>
        <v>0</v>
      </c>
    </row>
    <row r="216" spans="1:58" x14ac:dyDescent="0.25">
      <c r="A216" s="36" t="s">
        <v>10</v>
      </c>
      <c r="B216" s="82"/>
      <c r="C216" s="31"/>
      <c r="D216" s="31"/>
      <c r="E216" s="31"/>
      <c r="F216" s="31"/>
      <c r="G216" s="31"/>
      <c r="H216" s="31"/>
      <c r="I216" s="31"/>
      <c r="J216" s="60">
        <f t="shared" si="457"/>
        <v>0</v>
      </c>
      <c r="K216" s="60"/>
      <c r="L216" s="31"/>
      <c r="M216" s="31"/>
      <c r="N216" s="31"/>
      <c r="O216" s="31"/>
      <c r="P216" s="31"/>
      <c r="Q216" s="31"/>
      <c r="R216" s="31"/>
      <c r="S216" s="60">
        <f t="shared" si="459"/>
        <v>0</v>
      </c>
      <c r="T216" s="60"/>
      <c r="U216" s="31"/>
      <c r="V216" s="31"/>
      <c r="W216" s="31"/>
      <c r="X216" s="31"/>
      <c r="Y216" s="31"/>
      <c r="Z216" s="31"/>
      <c r="AA216" s="31"/>
      <c r="AB216" s="60">
        <f t="shared" si="461"/>
        <v>0</v>
      </c>
      <c r="AC216" s="60"/>
      <c r="AD216" s="31"/>
      <c r="AE216" s="31"/>
      <c r="AF216" s="31"/>
      <c r="AG216" s="31"/>
      <c r="AH216" s="31"/>
      <c r="AI216" s="31"/>
      <c r="AJ216" s="31"/>
      <c r="AK216" s="60">
        <f t="shared" si="463"/>
        <v>0</v>
      </c>
      <c r="AL216" s="60"/>
      <c r="AM216" s="31"/>
      <c r="AN216" s="31"/>
      <c r="AO216" s="31"/>
      <c r="AP216" s="31"/>
      <c r="AQ216" s="31"/>
      <c r="AR216" s="31"/>
      <c r="AS216" s="31"/>
      <c r="AT216" s="60">
        <f t="shared" si="465"/>
        <v>0</v>
      </c>
      <c r="AU216" s="60"/>
      <c r="AV216" s="31"/>
      <c r="AW216" s="31"/>
      <c r="AX216" s="60">
        <f t="shared" si="479"/>
        <v>0</v>
      </c>
      <c r="AY216" s="60">
        <f t="shared" si="467"/>
        <v>0</v>
      </c>
    </row>
    <row r="217" spans="1:58" s="33" customFormat="1" ht="15" customHeight="1" x14ac:dyDescent="0.25">
      <c r="A217" s="36" t="s">
        <v>44</v>
      </c>
      <c r="B217" s="82"/>
      <c r="C217" s="60">
        <f>IF(C205="nuit",C208*0.02,0)</f>
        <v>0</v>
      </c>
      <c r="D217" s="60">
        <f>IF(D205="nuit",D208*0.02,0)</f>
        <v>0</v>
      </c>
      <c r="E217" s="60">
        <f t="shared" ref="E217:I217" si="480">IF(E205="nuit",E208*0.02,0)</f>
        <v>0</v>
      </c>
      <c r="F217" s="60">
        <f t="shared" si="480"/>
        <v>0</v>
      </c>
      <c r="G217" s="60">
        <f>IF(G205="nuit",G208*0.02,0)</f>
        <v>0</v>
      </c>
      <c r="H217" s="60">
        <f t="shared" si="480"/>
        <v>0</v>
      </c>
      <c r="I217" s="60">
        <f t="shared" si="480"/>
        <v>0</v>
      </c>
      <c r="J217" s="60">
        <f t="shared" si="457"/>
        <v>0</v>
      </c>
      <c r="K217" s="60"/>
      <c r="L217" s="60">
        <f>IF(L205="nuit",L208*0.02,0)</f>
        <v>0</v>
      </c>
      <c r="M217" s="60">
        <f>IF(M205="nuit",M208*0.02,0)</f>
        <v>0</v>
      </c>
      <c r="N217" s="60">
        <f t="shared" ref="N217:R217" si="481">IF(N205="nuit",N208*0.02,0)</f>
        <v>0</v>
      </c>
      <c r="O217" s="60">
        <f t="shared" si="481"/>
        <v>0</v>
      </c>
      <c r="P217" s="60">
        <f>IF(P205="nuit",P208*0.02,0)</f>
        <v>0</v>
      </c>
      <c r="Q217" s="60">
        <f t="shared" si="481"/>
        <v>0</v>
      </c>
      <c r="R217" s="60">
        <f t="shared" si="481"/>
        <v>0</v>
      </c>
      <c r="S217" s="60">
        <f t="shared" si="459"/>
        <v>0</v>
      </c>
      <c r="T217" s="60"/>
      <c r="U217" s="60">
        <f>IF(U205="nuit",U208*0.02,0)</f>
        <v>0</v>
      </c>
      <c r="V217" s="60">
        <f>IF(V205="nuit",V208*0.02,0)</f>
        <v>0</v>
      </c>
      <c r="W217" s="60">
        <f t="shared" ref="W217:AA217" si="482">IF(W205="nuit",W208*0.02,0)</f>
        <v>0</v>
      </c>
      <c r="X217" s="60">
        <f t="shared" si="482"/>
        <v>0</v>
      </c>
      <c r="Y217" s="60">
        <f>IF(Y205="nuit",Y208*0.02,0)</f>
        <v>0</v>
      </c>
      <c r="Z217" s="60">
        <f t="shared" si="482"/>
        <v>0</v>
      </c>
      <c r="AA217" s="60">
        <f t="shared" si="482"/>
        <v>0</v>
      </c>
      <c r="AB217" s="60">
        <f t="shared" si="461"/>
        <v>0</v>
      </c>
      <c r="AC217" s="60"/>
      <c r="AD217" s="60">
        <f>IF(AD205="nuit",AD208*0.02,0)</f>
        <v>0</v>
      </c>
      <c r="AE217" s="60">
        <f>IF(AE205="nuit",AE208*0.02,0)</f>
        <v>0</v>
      </c>
      <c r="AF217" s="60">
        <f t="shared" ref="AF217:AJ217" si="483">IF(AF205="nuit",AF208*0.02,0)</f>
        <v>0</v>
      </c>
      <c r="AG217" s="60">
        <f t="shared" si="483"/>
        <v>0</v>
      </c>
      <c r="AH217" s="60">
        <f>IF(AH205="nuit",AH208*0.02,0)</f>
        <v>0</v>
      </c>
      <c r="AI217" s="60">
        <f t="shared" si="483"/>
        <v>0</v>
      </c>
      <c r="AJ217" s="60">
        <f t="shared" si="483"/>
        <v>0</v>
      </c>
      <c r="AK217" s="60">
        <f t="shared" si="463"/>
        <v>0</v>
      </c>
      <c r="AL217" s="60"/>
      <c r="AM217" s="60">
        <f>IF(AM205="nuit",AM208*0.02,0)</f>
        <v>0</v>
      </c>
      <c r="AN217" s="60">
        <f>IF(AN205="nuit",AN208*0.02,0)</f>
        <v>0</v>
      </c>
      <c r="AO217" s="60">
        <f t="shared" ref="AO217:AS217" si="484">IF(AO205="nuit",AO208*0.02,0)</f>
        <v>0</v>
      </c>
      <c r="AP217" s="60">
        <f t="shared" si="484"/>
        <v>0</v>
      </c>
      <c r="AQ217" s="60">
        <f>IF(AQ205="nuit",AQ208*0.02,0)</f>
        <v>0</v>
      </c>
      <c r="AR217" s="60">
        <f t="shared" si="484"/>
        <v>0</v>
      </c>
      <c r="AS217" s="60">
        <f t="shared" si="484"/>
        <v>0</v>
      </c>
      <c r="AT217" s="60">
        <f t="shared" si="465"/>
        <v>0</v>
      </c>
      <c r="AU217" s="60"/>
      <c r="AV217" s="60">
        <f>IF(AV205="nuit",AV208*0.02,0)</f>
        <v>0</v>
      </c>
      <c r="AW217" s="60">
        <f>IF(AW205="nuit",AW208*0.02,0)</f>
        <v>0</v>
      </c>
      <c r="AX217" s="60">
        <f>SUM(AV217:AW217)</f>
        <v>0</v>
      </c>
      <c r="AY217" s="60">
        <f>J217+S217+AB217+AK217+AT217+AX217</f>
        <v>0</v>
      </c>
      <c r="AZ217" s="52"/>
      <c r="BA217" s="52"/>
      <c r="BB217" s="52"/>
      <c r="BC217" s="52"/>
      <c r="BD217" s="52"/>
      <c r="BE217" s="52"/>
      <c r="BF217" s="35"/>
    </row>
    <row r="218" spans="1:58" ht="14.25" customHeight="1" x14ac:dyDescent="0.25">
      <c r="A218" s="21" t="s">
        <v>31</v>
      </c>
      <c r="B218" s="81"/>
      <c r="C218" s="31"/>
      <c r="D218" s="31"/>
      <c r="E218" s="31"/>
      <c r="F218" s="31"/>
      <c r="G218" s="31"/>
      <c r="H218" s="37"/>
      <c r="I218" s="37"/>
      <c r="J218" s="64"/>
      <c r="K218" s="64"/>
      <c r="L218" s="37"/>
      <c r="M218" s="37"/>
      <c r="N218" s="37"/>
      <c r="O218" s="37"/>
      <c r="P218" s="37"/>
      <c r="Q218" s="37"/>
      <c r="R218" s="37"/>
      <c r="S218" s="64"/>
      <c r="T218" s="64"/>
      <c r="U218" s="37"/>
      <c r="V218" s="37"/>
      <c r="W218" s="37"/>
      <c r="X218" s="37"/>
      <c r="Y218" s="37"/>
      <c r="Z218" s="37"/>
      <c r="AA218" s="37"/>
      <c r="AB218" s="64"/>
      <c r="AC218" s="64"/>
      <c r="AD218" s="37"/>
      <c r="AE218" s="37"/>
      <c r="AF218" s="37"/>
      <c r="AG218" s="37"/>
      <c r="AH218" s="37"/>
      <c r="AI218" s="37"/>
      <c r="AJ218" s="37"/>
      <c r="AK218" s="64"/>
      <c r="AL218" s="64"/>
      <c r="AM218" s="37"/>
      <c r="AN218" s="37"/>
      <c r="AO218" s="37"/>
      <c r="AP218" s="37"/>
      <c r="AQ218" s="37"/>
      <c r="AR218" s="37"/>
      <c r="AS218" s="37"/>
      <c r="AT218" s="64"/>
      <c r="AU218" s="64"/>
      <c r="AV218" s="37"/>
      <c r="AW218" s="37"/>
      <c r="AX218" s="64"/>
      <c r="AY218" s="65"/>
    </row>
    <row r="219" spans="1:58" x14ac:dyDescent="0.25">
      <c r="A219" s="38"/>
      <c r="B219" s="38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69"/>
      <c r="AZ219" s="20"/>
      <c r="BA219" s="46"/>
    </row>
  </sheetData>
  <mergeCells count="150">
    <mergeCell ref="AT185:AT186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B113:AB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BD4:BE4"/>
    <mergeCell ref="H130:I130"/>
    <mergeCell ref="BE96:BE97"/>
    <mergeCell ref="BD96:BD97"/>
    <mergeCell ref="H94:I94"/>
    <mergeCell ref="BA98:BB98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AZ5:AZ6"/>
    <mergeCell ref="BA5:BA6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</mergeCell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altText="Spinner control. Use spinner to change calendar year or type desired year in cell L2">
                <anchor moveWithCells="1">
                  <from>
                    <xdr:col>0</xdr:col>
                    <xdr:colOff>236220</xdr:colOff>
                    <xdr:row>1</xdr:row>
                    <xdr:rowOff>60960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5"/>
  <sheetViews>
    <sheetView showZeros="0" workbookViewId="0">
      <selection activeCell="B4" sqref="B4"/>
    </sheetView>
  </sheetViews>
  <sheetFormatPr baseColWidth="10" defaultRowHeight="15" x14ac:dyDescent="0.25"/>
  <cols>
    <col min="1" max="1" width="15.36328125" customWidth="1"/>
    <col min="2" max="2" width="8.54296875" style="58" customWidth="1"/>
    <col min="3" max="16" width="5.81640625" customWidth="1"/>
  </cols>
  <sheetData>
    <row r="1" spans="1:17" ht="15.6" thickBot="1" x14ac:dyDescent="0.3">
      <c r="C1" s="58" t="s">
        <v>36</v>
      </c>
      <c r="D1" s="58" t="s">
        <v>37</v>
      </c>
      <c r="E1" s="58" t="s">
        <v>21</v>
      </c>
      <c r="F1" s="58" t="s">
        <v>22</v>
      </c>
      <c r="G1" s="58" t="s">
        <v>23</v>
      </c>
      <c r="H1" s="58" t="s">
        <v>24</v>
      </c>
      <c r="I1" s="58" t="s">
        <v>38</v>
      </c>
      <c r="J1" s="58" t="s">
        <v>26</v>
      </c>
      <c r="K1" s="58" t="s">
        <v>39</v>
      </c>
      <c r="L1" s="58" t="s">
        <v>40</v>
      </c>
      <c r="M1" s="58" t="s">
        <v>41</v>
      </c>
      <c r="N1" s="58" t="s">
        <v>42</v>
      </c>
      <c r="P1" s="58" t="s">
        <v>43</v>
      </c>
    </row>
    <row r="2" spans="1:17" ht="15.6" thickTop="1" x14ac:dyDescent="0.25">
      <c r="A2" s="36" t="s">
        <v>47</v>
      </c>
      <c r="B2" s="74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P2" s="58"/>
    </row>
    <row r="3" spans="1:17" x14ac:dyDescent="0.25">
      <c r="A3" s="36" t="s">
        <v>48</v>
      </c>
      <c r="B3" s="75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P3" s="58"/>
    </row>
    <row r="4" spans="1:17" x14ac:dyDescent="0.25">
      <c r="A4" s="36" t="s">
        <v>33</v>
      </c>
      <c r="B4" s="76"/>
    </row>
    <row r="5" spans="1:17" ht="15.6" thickBot="1" x14ac:dyDescent="0.3">
      <c r="A5" s="36" t="s">
        <v>34</v>
      </c>
      <c r="B5" s="77">
        <v>21</v>
      </c>
      <c r="G5" s="73">
        <f>B5</f>
        <v>21</v>
      </c>
      <c r="H5" s="73">
        <f>G5-H18</f>
        <v>21</v>
      </c>
      <c r="I5" s="73">
        <f t="shared" ref="I5:N5" si="0">H5-I18</f>
        <v>21</v>
      </c>
      <c r="J5" s="73">
        <f t="shared" si="0"/>
        <v>21</v>
      </c>
      <c r="K5" s="73">
        <f t="shared" si="0"/>
        <v>21</v>
      </c>
      <c r="L5" s="73">
        <f t="shared" si="0"/>
        <v>21</v>
      </c>
      <c r="M5" s="73">
        <f t="shared" si="0"/>
        <v>21</v>
      </c>
      <c r="N5" s="73">
        <f t="shared" si="0"/>
        <v>21</v>
      </c>
      <c r="P5" s="73">
        <f>N5</f>
        <v>21</v>
      </c>
      <c r="Q5" t="s">
        <v>53</v>
      </c>
    </row>
    <row r="6" spans="1:17" ht="15.6" thickTop="1" x14ac:dyDescent="0.25">
      <c r="A6" s="36" t="s">
        <v>49</v>
      </c>
      <c r="B6" s="71"/>
      <c r="C6" s="73">
        <f>B4-C18</f>
        <v>0</v>
      </c>
      <c r="D6" s="73">
        <f>C6-D18</f>
        <v>0</v>
      </c>
      <c r="E6" s="73">
        <f t="shared" ref="E6:F6" si="1">D6-E18</f>
        <v>0</v>
      </c>
      <c r="F6" s="73">
        <f t="shared" si="1"/>
        <v>0</v>
      </c>
      <c r="P6" s="73">
        <f>F6</f>
        <v>0</v>
      </c>
      <c r="Q6" t="s">
        <v>54</v>
      </c>
    </row>
    <row r="7" spans="1:17" x14ac:dyDescent="0.25">
      <c r="A7" s="36" t="s">
        <v>50</v>
      </c>
      <c r="B7" s="71"/>
      <c r="C7" s="73">
        <f>B2-C17+C16</f>
        <v>0</v>
      </c>
      <c r="D7" s="73">
        <f>C7-D17+D16</f>
        <v>0</v>
      </c>
      <c r="E7" s="73">
        <f t="shared" ref="E7:M7" si="2">D7-E17+E16</f>
        <v>0</v>
      </c>
      <c r="F7" s="73">
        <f t="shared" si="2"/>
        <v>0</v>
      </c>
      <c r="G7" s="73">
        <f t="shared" si="2"/>
        <v>0</v>
      </c>
      <c r="H7" s="73">
        <f t="shared" si="2"/>
        <v>0</v>
      </c>
      <c r="I7" s="73">
        <f t="shared" si="2"/>
        <v>0</v>
      </c>
      <c r="J7" s="73">
        <f t="shared" si="2"/>
        <v>0</v>
      </c>
      <c r="K7" s="73">
        <f t="shared" si="2"/>
        <v>0</v>
      </c>
      <c r="L7" s="73">
        <f t="shared" si="2"/>
        <v>0</v>
      </c>
      <c r="M7" s="73">
        <f t="shared" si="2"/>
        <v>0</v>
      </c>
      <c r="N7" s="73">
        <f>M7-N17+N16</f>
        <v>0</v>
      </c>
      <c r="P7" s="73">
        <f>N7</f>
        <v>0</v>
      </c>
    </row>
    <row r="8" spans="1:17" x14ac:dyDescent="0.25">
      <c r="A8" s="36" t="s">
        <v>51</v>
      </c>
      <c r="B8" s="71"/>
      <c r="C8" s="73">
        <f>B3-C19+C20</f>
        <v>1.1200000000000001</v>
      </c>
      <c r="D8" s="73">
        <f>C8-D19+D20</f>
        <v>1.1200000000000001</v>
      </c>
      <c r="E8" s="73">
        <f t="shared" ref="E8:M8" si="3">D8-E19+E20</f>
        <v>1.1200000000000001</v>
      </c>
      <c r="F8" s="73">
        <f t="shared" si="3"/>
        <v>1.1200000000000001</v>
      </c>
      <c r="G8" s="73">
        <f t="shared" si="3"/>
        <v>1.1200000000000001</v>
      </c>
      <c r="H8" s="73">
        <f t="shared" si="3"/>
        <v>1.1200000000000001</v>
      </c>
      <c r="I8" s="73">
        <f t="shared" si="3"/>
        <v>1.1200000000000001</v>
      </c>
      <c r="J8" s="73">
        <f t="shared" si="3"/>
        <v>1.1200000000000001</v>
      </c>
      <c r="K8" s="73">
        <f t="shared" si="3"/>
        <v>1.1200000000000001</v>
      </c>
      <c r="L8" s="73">
        <f t="shared" si="3"/>
        <v>1.1200000000000001</v>
      </c>
      <c r="M8" s="73">
        <f t="shared" si="3"/>
        <v>1.1200000000000001</v>
      </c>
      <c r="N8" s="73">
        <f>M8-N19+N20</f>
        <v>1.1200000000000001</v>
      </c>
      <c r="O8" s="70"/>
      <c r="P8" s="73">
        <f>N8</f>
        <v>1.1200000000000001</v>
      </c>
    </row>
    <row r="9" spans="1:17" x14ac:dyDescent="0.25">
      <c r="A9" s="21" t="s">
        <v>12</v>
      </c>
      <c r="B9" s="71"/>
      <c r="C9" s="60">
        <f>Travail!AY8</f>
        <v>14</v>
      </c>
      <c r="D9" s="60">
        <f>Travail!AY26</f>
        <v>2</v>
      </c>
      <c r="E9" s="60">
        <f>Travail!AY44</f>
        <v>1</v>
      </c>
      <c r="F9" s="60">
        <f>Travail!AY62</f>
        <v>1</v>
      </c>
      <c r="G9" s="60">
        <f>Travail!AY80</f>
        <v>1</v>
      </c>
      <c r="H9" s="60">
        <f>Travail!AY98</f>
        <v>1</v>
      </c>
      <c r="I9" s="60">
        <f>Travail!AY116</f>
        <v>1</v>
      </c>
      <c r="J9" s="60">
        <f>Travail!AY134</f>
        <v>1</v>
      </c>
      <c r="K9" s="60">
        <f>Travail!AY152</f>
        <v>1</v>
      </c>
      <c r="L9" s="60">
        <f>Travail!AY170</f>
        <v>1</v>
      </c>
      <c r="M9" s="60">
        <f>Travail!AY188</f>
        <v>1</v>
      </c>
      <c r="N9" s="60">
        <f>Travail!AY206</f>
        <v>6</v>
      </c>
      <c r="O9" s="72"/>
      <c r="P9" s="60">
        <f>SUM(C9:N9)</f>
        <v>31</v>
      </c>
    </row>
    <row r="10" spans="1:17" x14ac:dyDescent="0.25">
      <c r="A10" s="21" t="s">
        <v>4</v>
      </c>
      <c r="B10" s="71"/>
      <c r="C10" s="60">
        <f>Travail!AY9</f>
        <v>21</v>
      </c>
      <c r="D10" s="60">
        <f>Travail!AY27</f>
        <v>2</v>
      </c>
      <c r="E10" s="60">
        <f>Travail!AY45</f>
        <v>1</v>
      </c>
      <c r="F10" s="60">
        <f>Travail!AY63</f>
        <v>1</v>
      </c>
      <c r="G10" s="60">
        <f>Travail!AY81</f>
        <v>1</v>
      </c>
      <c r="H10" s="60">
        <f>Travail!AY99</f>
        <v>1</v>
      </c>
      <c r="I10" s="60">
        <f>Travail!AY117</f>
        <v>1</v>
      </c>
      <c r="J10" s="60">
        <f>Travail!AY135</f>
        <v>1</v>
      </c>
      <c r="K10" s="60">
        <f>Travail!AY153</f>
        <v>1</v>
      </c>
      <c r="L10" s="60">
        <f>Travail!AY171</f>
        <v>1</v>
      </c>
      <c r="M10" s="60">
        <f>Travail!AY189</f>
        <v>1</v>
      </c>
      <c r="N10" s="60">
        <f>Travail!AY207</f>
        <v>6</v>
      </c>
      <c r="O10" s="72"/>
      <c r="P10" s="60">
        <f t="shared" ref="P10:P20" si="4">SUM(C10:N10)</f>
        <v>38</v>
      </c>
    </row>
    <row r="11" spans="1:17" x14ac:dyDescent="0.25">
      <c r="A11" s="21" t="s">
        <v>3</v>
      </c>
      <c r="B11" s="71"/>
      <c r="C11" s="60">
        <f>Travail!AY10</f>
        <v>168</v>
      </c>
      <c r="D11" s="60">
        <f>Travail!AY28</f>
        <v>16</v>
      </c>
      <c r="E11" s="60">
        <f>Travail!AY46</f>
        <v>8</v>
      </c>
      <c r="F11" s="60">
        <f>Travail!AY64</f>
        <v>8</v>
      </c>
      <c r="G11" s="60">
        <f>Travail!AY82</f>
        <v>8</v>
      </c>
      <c r="H11" s="60">
        <f>Travail!AY100</f>
        <v>8</v>
      </c>
      <c r="I11" s="60">
        <f>Travail!AY118</f>
        <v>8</v>
      </c>
      <c r="J11" s="60">
        <f>Travail!AY136</f>
        <v>8</v>
      </c>
      <c r="K11" s="60">
        <f>Travail!AY154</f>
        <v>8</v>
      </c>
      <c r="L11" s="60">
        <f>Travail!AY172</f>
        <v>8</v>
      </c>
      <c r="M11" s="60">
        <f>Travail!AY190</f>
        <v>8</v>
      </c>
      <c r="N11" s="60">
        <f>Travail!AY208</f>
        <v>48</v>
      </c>
      <c r="O11" s="72"/>
      <c r="P11" s="60">
        <f t="shared" si="4"/>
        <v>304</v>
      </c>
    </row>
    <row r="12" spans="1:17" x14ac:dyDescent="0.25">
      <c r="A12" s="36" t="s">
        <v>20</v>
      </c>
      <c r="B12" s="71"/>
      <c r="C12" s="60">
        <f>Travail!AY11</f>
        <v>6</v>
      </c>
      <c r="D12" s="60">
        <f>Travail!AY29</f>
        <v>0</v>
      </c>
      <c r="E12" s="60">
        <f>Travail!AY47</f>
        <v>0</v>
      </c>
      <c r="F12" s="60">
        <f>Travail!AY65</f>
        <v>0</v>
      </c>
      <c r="G12" s="60">
        <f>Travail!AY83</f>
        <v>0</v>
      </c>
      <c r="H12" s="60">
        <f>Travail!AY101</f>
        <v>0</v>
      </c>
      <c r="I12" s="60">
        <f>Travail!AY119</f>
        <v>0</v>
      </c>
      <c r="J12" s="60">
        <f>Travail!AY137</f>
        <v>0</v>
      </c>
      <c r="K12" s="60">
        <f>Travail!AY155</f>
        <v>0</v>
      </c>
      <c r="L12" s="60">
        <f>Travail!AY173</f>
        <v>0</v>
      </c>
      <c r="M12" s="60">
        <f>Travail!AY191</f>
        <v>0</v>
      </c>
      <c r="N12" s="60">
        <f>Travail!AY209</f>
        <v>3</v>
      </c>
      <c r="O12" s="72"/>
      <c r="P12" s="60">
        <f t="shared" si="4"/>
        <v>9</v>
      </c>
    </row>
    <row r="13" spans="1:17" x14ac:dyDescent="0.25">
      <c r="A13" s="21" t="s">
        <v>6</v>
      </c>
      <c r="B13" s="71"/>
      <c r="C13" s="60">
        <f>Travail!AY12</f>
        <v>10</v>
      </c>
      <c r="D13" s="60">
        <f>Travail!AY30</f>
        <v>0</v>
      </c>
      <c r="E13" s="60">
        <f>Travail!AY48</f>
        <v>0</v>
      </c>
      <c r="F13" s="60">
        <f>Travail!AY66</f>
        <v>0</v>
      </c>
      <c r="G13" s="60">
        <f>Travail!AY84</f>
        <v>0</v>
      </c>
      <c r="H13" s="60">
        <f>Travail!AY102</f>
        <v>0</v>
      </c>
      <c r="I13" s="60">
        <f>Travail!AY120</f>
        <v>0</v>
      </c>
      <c r="J13" s="60">
        <f>Travail!AY138</f>
        <v>0</v>
      </c>
      <c r="K13" s="60">
        <f>Travail!AY156</f>
        <v>0</v>
      </c>
      <c r="L13" s="60">
        <f>Travail!AY174</f>
        <v>0</v>
      </c>
      <c r="M13" s="60">
        <f>Travail!AY192</f>
        <v>0</v>
      </c>
      <c r="N13" s="60">
        <f>Travail!AY210</f>
        <v>5</v>
      </c>
      <c r="O13" s="72"/>
      <c r="P13" s="60">
        <f t="shared" si="4"/>
        <v>15</v>
      </c>
    </row>
    <row r="14" spans="1:17" x14ac:dyDescent="0.25">
      <c r="A14" s="21" t="s">
        <v>5</v>
      </c>
      <c r="C14" s="60">
        <f>Travail!AY13</f>
        <v>0</v>
      </c>
      <c r="D14" s="60">
        <f>Travail!AY31</f>
        <v>0</v>
      </c>
      <c r="E14" s="60">
        <f>Travail!AY49</f>
        <v>0</v>
      </c>
      <c r="F14" s="60">
        <f>Travail!AY67</f>
        <v>0</v>
      </c>
      <c r="G14" s="60">
        <f>Travail!AY85</f>
        <v>0</v>
      </c>
      <c r="H14" s="60">
        <f>Travail!AY103</f>
        <v>0</v>
      </c>
      <c r="I14" s="60">
        <f>Travail!AY121</f>
        <v>0</v>
      </c>
      <c r="J14" s="60">
        <f>Travail!AY139</f>
        <v>0</v>
      </c>
      <c r="K14" s="60">
        <f>Travail!AY157</f>
        <v>0</v>
      </c>
      <c r="L14" s="60">
        <f>Travail!AY175</f>
        <v>0</v>
      </c>
      <c r="M14" s="60">
        <f>Travail!AY193</f>
        <v>0</v>
      </c>
      <c r="N14" s="60">
        <f>Travail!AY211</f>
        <v>0</v>
      </c>
      <c r="O14" s="72"/>
      <c r="P14" s="60">
        <f t="shared" si="4"/>
        <v>0</v>
      </c>
    </row>
    <row r="15" spans="1:17" x14ac:dyDescent="0.25">
      <c r="A15" s="21" t="s">
        <v>7</v>
      </c>
      <c r="C15" s="60">
        <f>Travail!AY14</f>
        <v>0</v>
      </c>
      <c r="D15" s="60">
        <f>Travail!AY32</f>
        <v>0</v>
      </c>
      <c r="E15" s="60">
        <f>Travail!AY50</f>
        <v>0</v>
      </c>
      <c r="F15" s="60">
        <f>Travail!AY68</f>
        <v>0</v>
      </c>
      <c r="G15" s="60">
        <f>Travail!AY86</f>
        <v>0</v>
      </c>
      <c r="H15" s="60">
        <f>Travail!AY104</f>
        <v>0</v>
      </c>
      <c r="I15" s="60">
        <f>Travail!AY122</f>
        <v>0</v>
      </c>
      <c r="J15" s="60">
        <f>Travail!AY140</f>
        <v>0</v>
      </c>
      <c r="K15" s="60">
        <f>Travail!AY158</f>
        <v>0</v>
      </c>
      <c r="L15" s="60">
        <f>Travail!AY176</f>
        <v>0</v>
      </c>
      <c r="M15" s="60">
        <f>Travail!AY194</f>
        <v>0</v>
      </c>
      <c r="N15" s="60">
        <f>Travail!AY212</f>
        <v>0</v>
      </c>
      <c r="O15" s="72"/>
      <c r="P15" s="60">
        <f t="shared" si="4"/>
        <v>0</v>
      </c>
    </row>
    <row r="16" spans="1:17" x14ac:dyDescent="0.25">
      <c r="A16" s="21" t="s">
        <v>8</v>
      </c>
      <c r="C16" s="60">
        <f>Travail!AY15</f>
        <v>0</v>
      </c>
      <c r="D16" s="60">
        <f>Travail!AY33</f>
        <v>0</v>
      </c>
      <c r="E16" s="60">
        <f>Travail!AY51</f>
        <v>0</v>
      </c>
      <c r="F16" s="60">
        <f>Travail!AY69</f>
        <v>0</v>
      </c>
      <c r="G16" s="60">
        <f>Travail!AY87</f>
        <v>0</v>
      </c>
      <c r="H16" s="60">
        <f>Travail!AY105</f>
        <v>0</v>
      </c>
      <c r="I16" s="60">
        <f>Travail!AY123</f>
        <v>0</v>
      </c>
      <c r="J16" s="60">
        <f>Travail!AY141</f>
        <v>0</v>
      </c>
      <c r="K16" s="60">
        <f>Travail!AY159</f>
        <v>0</v>
      </c>
      <c r="L16" s="60">
        <f>Travail!AY177</f>
        <v>0</v>
      </c>
      <c r="M16" s="60">
        <f>Travail!AY195</f>
        <v>0</v>
      </c>
      <c r="N16" s="60">
        <f>Travail!AY213</f>
        <v>0</v>
      </c>
      <c r="O16" s="72"/>
      <c r="P16" s="60">
        <f t="shared" si="4"/>
        <v>0</v>
      </c>
    </row>
    <row r="17" spans="1:17" x14ac:dyDescent="0.25">
      <c r="A17" s="36" t="s">
        <v>9</v>
      </c>
      <c r="C17" s="60">
        <f>Travail!AY16</f>
        <v>0</v>
      </c>
      <c r="D17" s="60">
        <f>Travail!AY34</f>
        <v>0</v>
      </c>
      <c r="E17" s="60">
        <f>Travail!AY52</f>
        <v>0</v>
      </c>
      <c r="F17" s="60">
        <f>Travail!AY70</f>
        <v>0</v>
      </c>
      <c r="G17" s="60">
        <f>Travail!AY88</f>
        <v>0</v>
      </c>
      <c r="H17" s="60">
        <f>Travail!AY106</f>
        <v>0</v>
      </c>
      <c r="I17" s="60">
        <f>Travail!AY124</f>
        <v>0</v>
      </c>
      <c r="J17" s="60">
        <f>Travail!AY142</f>
        <v>0</v>
      </c>
      <c r="K17" s="60">
        <f>Travail!AY160</f>
        <v>0</v>
      </c>
      <c r="L17" s="60">
        <f>Travail!AY178</f>
        <v>0</v>
      </c>
      <c r="M17" s="60">
        <f>Travail!AY196</f>
        <v>0</v>
      </c>
      <c r="N17" s="60">
        <f>Travail!AY214</f>
        <v>0</v>
      </c>
      <c r="O17" s="72"/>
      <c r="P17" s="60">
        <f t="shared" si="4"/>
        <v>0</v>
      </c>
    </row>
    <row r="18" spans="1:17" x14ac:dyDescent="0.25">
      <c r="A18" s="21" t="s">
        <v>11</v>
      </c>
      <c r="C18" s="60">
        <f>Travail!AY17</f>
        <v>0</v>
      </c>
      <c r="D18" s="60">
        <f>Travail!AY35</f>
        <v>0</v>
      </c>
      <c r="E18" s="60">
        <f>Travail!AY53</f>
        <v>0</v>
      </c>
      <c r="F18" s="60">
        <f>Travail!AY71</f>
        <v>0</v>
      </c>
      <c r="G18" s="60">
        <f>Travail!AY89</f>
        <v>0</v>
      </c>
      <c r="H18" s="60">
        <f>Travail!AY107</f>
        <v>0</v>
      </c>
      <c r="I18" s="60">
        <f>Travail!AY125</f>
        <v>0</v>
      </c>
      <c r="J18" s="60">
        <f>Travail!AY143</f>
        <v>0</v>
      </c>
      <c r="K18" s="60">
        <f>Travail!AY161</f>
        <v>0</v>
      </c>
      <c r="L18" s="60">
        <f>Travail!AY179</f>
        <v>0</v>
      </c>
      <c r="M18" s="60">
        <f>Travail!AY197</f>
        <v>0</v>
      </c>
      <c r="N18" s="60">
        <f>Travail!AY215</f>
        <v>0</v>
      </c>
      <c r="O18" s="72"/>
      <c r="P18" s="60">
        <f>SUM(C18:F18)</f>
        <v>0</v>
      </c>
      <c r="Q18" t="s">
        <v>52</v>
      </c>
    </row>
    <row r="19" spans="1:17" x14ac:dyDescent="0.25">
      <c r="A19" s="36" t="s">
        <v>10</v>
      </c>
      <c r="C19" s="60">
        <f>Travail!AY18</f>
        <v>0</v>
      </c>
      <c r="D19" s="60">
        <f>Travail!AY36</f>
        <v>0</v>
      </c>
      <c r="E19" s="60">
        <f>Travail!AY54</f>
        <v>0</v>
      </c>
      <c r="F19" s="60">
        <f>Travail!AY72</f>
        <v>0</v>
      </c>
      <c r="G19" s="60">
        <f>Travail!AY90</f>
        <v>0</v>
      </c>
      <c r="H19" s="60">
        <f>Travail!AY108</f>
        <v>0</v>
      </c>
      <c r="I19" s="60">
        <f>Travail!AY126</f>
        <v>0</v>
      </c>
      <c r="J19" s="60">
        <f>Travail!AY144</f>
        <v>0</v>
      </c>
      <c r="K19" s="60">
        <f>Travail!AY162</f>
        <v>0</v>
      </c>
      <c r="L19" s="60">
        <f>Travail!AY180</f>
        <v>0</v>
      </c>
      <c r="M19" s="60">
        <f>Travail!AY198</f>
        <v>0</v>
      </c>
      <c r="N19" s="60">
        <f>Travail!AY216</f>
        <v>0</v>
      </c>
      <c r="O19" s="72"/>
      <c r="P19" s="60">
        <f t="shared" si="4"/>
        <v>0</v>
      </c>
    </row>
    <row r="20" spans="1:17" x14ac:dyDescent="0.25">
      <c r="A20" s="36" t="s">
        <v>44</v>
      </c>
      <c r="B20" s="71"/>
      <c r="C20" s="60">
        <f>Travail!AY19</f>
        <v>1.1200000000000001</v>
      </c>
      <c r="D20" s="60">
        <f>Travail!AY37</f>
        <v>0</v>
      </c>
      <c r="E20" s="60">
        <f>Travail!AY55</f>
        <v>0</v>
      </c>
      <c r="F20" s="60">
        <f>Travail!AY73</f>
        <v>0</v>
      </c>
      <c r="G20" s="60">
        <f>Travail!AY91</f>
        <v>0</v>
      </c>
      <c r="H20" s="60">
        <f>Travail!AY109</f>
        <v>0</v>
      </c>
      <c r="I20" s="60">
        <f>Travail!AY127</f>
        <v>0</v>
      </c>
      <c r="J20" s="60">
        <f>Travail!AY145</f>
        <v>0</v>
      </c>
      <c r="K20" s="60">
        <f>Travail!AY163</f>
        <v>0</v>
      </c>
      <c r="L20" s="60">
        <f>Travail!AY181</f>
        <v>0</v>
      </c>
      <c r="M20" s="60">
        <f>Travail!AY199</f>
        <v>0</v>
      </c>
      <c r="N20" s="60">
        <f>Travail!AY217</f>
        <v>0</v>
      </c>
      <c r="O20" s="72"/>
      <c r="P20" s="60">
        <f t="shared" si="4"/>
        <v>1.1200000000000001</v>
      </c>
    </row>
    <row r="21" spans="1:17" x14ac:dyDescent="0.25">
      <c r="A21" s="36" t="s">
        <v>45</v>
      </c>
      <c r="C21" s="60">
        <f>Travail!AZ5</f>
        <v>10</v>
      </c>
      <c r="D21" s="60">
        <f>Travail!AZ23</f>
        <v>0</v>
      </c>
      <c r="E21" s="60">
        <f>Travail!AZ41</f>
        <v>0</v>
      </c>
      <c r="F21" s="60">
        <f>Travail!AZ59</f>
        <v>0</v>
      </c>
      <c r="G21" s="60">
        <f>Travail!AZ77</f>
        <v>0</v>
      </c>
      <c r="H21" s="60">
        <f>Travail!AZ95</f>
        <v>0</v>
      </c>
      <c r="I21" s="60">
        <f>Travail!AZ113</f>
        <v>0</v>
      </c>
      <c r="J21" s="60">
        <f>Travail!AZ131</f>
        <v>0</v>
      </c>
      <c r="K21" s="60">
        <f>Travail!AZ149</f>
        <v>0</v>
      </c>
      <c r="L21" s="60">
        <f>Travail!AZ167</f>
        <v>0</v>
      </c>
      <c r="M21" s="60">
        <f>Travail!AZ185</f>
        <v>0</v>
      </c>
      <c r="N21" s="60">
        <f>Travail!AZ203</f>
        <v>5</v>
      </c>
      <c r="O21" s="72"/>
      <c r="P21" s="60"/>
    </row>
    <row r="22" spans="1:17" x14ac:dyDescent="0.25">
      <c r="A22" s="36" t="s">
        <v>46</v>
      </c>
      <c r="C22" s="60">
        <f>Travail!BA5</f>
        <v>10</v>
      </c>
      <c r="D22" s="60">
        <f>Travail!BA23</f>
        <v>10</v>
      </c>
      <c r="E22" s="60">
        <f>Travail!BA41</f>
        <v>10</v>
      </c>
      <c r="F22" s="60">
        <f>Travail!BA59</f>
        <v>10</v>
      </c>
      <c r="G22" s="60">
        <f>Travail!BA77</f>
        <v>10</v>
      </c>
      <c r="H22" s="60">
        <f>Travail!BA95</f>
        <v>10</v>
      </c>
      <c r="I22" s="60">
        <f>Travail!BA113</f>
        <v>10</v>
      </c>
      <c r="J22" s="60">
        <f>Travail!BA131</f>
        <v>10</v>
      </c>
      <c r="K22" s="60">
        <f>Travail!BA149</f>
        <v>10</v>
      </c>
      <c r="L22" s="60">
        <f>Travail!BA167</f>
        <v>10</v>
      </c>
      <c r="M22" s="60">
        <f>Travail!BA185</f>
        <v>10</v>
      </c>
      <c r="N22" s="60">
        <f>Travail!BA203</f>
        <v>15</v>
      </c>
      <c r="O22" s="72"/>
      <c r="P22" s="60">
        <f>N22</f>
        <v>15</v>
      </c>
    </row>
    <row r="24" spans="1:17" x14ac:dyDescent="0.25">
      <c r="A24" s="36"/>
    </row>
    <row r="25" spans="1:17" x14ac:dyDescent="0.25">
      <c r="A25" s="3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E15" sqref="E15"/>
    </sheetView>
  </sheetViews>
  <sheetFormatPr baseColWidth="10" defaultRowHeight="15" x14ac:dyDescent="0.25"/>
  <sheetData>
    <row r="1" spans="1:8" x14ac:dyDescent="0.25">
      <c r="A1" t="s">
        <v>65</v>
      </c>
    </row>
    <row r="2" spans="1:8" x14ac:dyDescent="0.25">
      <c r="A2" t="s">
        <v>59</v>
      </c>
      <c r="B2" t="s">
        <v>62</v>
      </c>
    </row>
    <row r="3" spans="1:8" x14ac:dyDescent="0.25">
      <c r="A3" t="s">
        <v>60</v>
      </c>
      <c r="B3" t="s">
        <v>63</v>
      </c>
    </row>
    <row r="4" spans="1:8" x14ac:dyDescent="0.25">
      <c r="A4" t="s">
        <v>61</v>
      </c>
      <c r="B4" t="s">
        <v>64</v>
      </c>
    </row>
    <row r="5" spans="1:8" x14ac:dyDescent="0.25">
      <c r="B5" t="s">
        <v>67</v>
      </c>
      <c r="C5" t="s">
        <v>68</v>
      </c>
      <c r="D5" t="s">
        <v>69</v>
      </c>
      <c r="E5" t="s">
        <v>70</v>
      </c>
      <c r="F5" t="s">
        <v>71</v>
      </c>
      <c r="G5" t="s">
        <v>72</v>
      </c>
      <c r="H5" t="s">
        <v>73</v>
      </c>
    </row>
    <row r="6" spans="1:8" x14ac:dyDescent="0.25">
      <c r="A6" t="s">
        <v>66</v>
      </c>
      <c r="B6" t="s">
        <v>55</v>
      </c>
      <c r="C6" t="s">
        <v>55</v>
      </c>
      <c r="D6" t="s">
        <v>55</v>
      </c>
    </row>
    <row r="7" spans="1:8" x14ac:dyDescent="0.25">
      <c r="A7" t="s">
        <v>74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</row>
    <row r="8" spans="1:8" x14ac:dyDescent="0.25">
      <c r="A8" t="s">
        <v>75</v>
      </c>
      <c r="B8" t="s">
        <v>55</v>
      </c>
      <c r="E8" t="s">
        <v>55</v>
      </c>
      <c r="F8" t="s">
        <v>55</v>
      </c>
    </row>
    <row r="9" spans="1:8" x14ac:dyDescent="0.25">
      <c r="A9" t="s">
        <v>76</v>
      </c>
      <c r="B9" t="s">
        <v>57</v>
      </c>
      <c r="C9" t="s">
        <v>57</v>
      </c>
      <c r="D9" t="s">
        <v>57</v>
      </c>
      <c r="E9" t="s">
        <v>57</v>
      </c>
      <c r="F9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219"/>
  <sheetViews>
    <sheetView workbookViewId="0">
      <selection activeCell="C11" sqref="C11:I14"/>
    </sheetView>
  </sheetViews>
  <sheetFormatPr baseColWidth="10" defaultColWidth="6.6328125" defaultRowHeight="13.8" x14ac:dyDescent="0.25"/>
  <cols>
    <col min="1" max="1" width="11.1796875" style="2" customWidth="1"/>
    <col min="2" max="2" width="5.7265625" style="2" customWidth="1"/>
    <col min="3" max="50" width="4.81640625" style="2" customWidth="1"/>
    <col min="51" max="57" width="7.81640625" style="2" customWidth="1"/>
    <col min="58" max="58" width="4.54296875" style="2" customWidth="1"/>
    <col min="59" max="16384" width="6.6328125" style="2"/>
  </cols>
  <sheetData>
    <row r="1" spans="1:59" ht="24.6" x14ac:dyDescent="0.25">
      <c r="A1" s="23">
        <v>2018</v>
      </c>
      <c r="B1" s="23"/>
      <c r="C1" s="18"/>
      <c r="D1" s="10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BF1" s="10"/>
    </row>
    <row r="2" spans="1:59" ht="27.75" customHeight="1" x14ac:dyDescent="0.25">
      <c r="C2" s="24"/>
      <c r="D2" s="19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Z2" s="97" t="s">
        <v>45</v>
      </c>
      <c r="BA2" s="97" t="s">
        <v>46</v>
      </c>
      <c r="BB2" s="11"/>
      <c r="BF2" s="14"/>
    </row>
    <row r="3" spans="1:59" s="6" customFormat="1" x14ac:dyDescent="0.25">
      <c r="A3" s="15"/>
      <c r="B3" s="15"/>
      <c r="C3" s="15"/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Z3" s="97"/>
      <c r="BA3" s="97"/>
      <c r="BF3" s="9"/>
    </row>
    <row r="4" spans="1:59" s="3" customFormat="1" ht="27.6" x14ac:dyDescent="0.45">
      <c r="A4" s="25"/>
      <c r="B4" s="25"/>
      <c r="C4" s="26" t="s">
        <v>0</v>
      </c>
      <c r="D4" s="26"/>
      <c r="E4" s="26"/>
      <c r="F4" s="26"/>
      <c r="G4" s="26"/>
      <c r="H4" s="94">
        <f>Année_Calendaire</f>
        <v>2016</v>
      </c>
      <c r="I4" s="94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26" t="s">
        <v>0</v>
      </c>
      <c r="V4" s="26"/>
      <c r="W4" s="26"/>
      <c r="X4" s="26"/>
      <c r="Y4" s="26"/>
      <c r="Z4" s="94">
        <f>Année_Calendaire</f>
        <v>2016</v>
      </c>
      <c r="AA4" s="94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26" t="s">
        <v>0</v>
      </c>
      <c r="AN4" s="26"/>
      <c r="AO4" s="26"/>
      <c r="AP4" s="26"/>
      <c r="AQ4" s="26"/>
      <c r="AR4" s="94">
        <f>Année_Calendaire</f>
        <v>2016</v>
      </c>
      <c r="AS4" s="94"/>
      <c r="AT4" s="89"/>
      <c r="AU4" s="89"/>
      <c r="AV4" s="89"/>
      <c r="AW4" s="89"/>
      <c r="AX4" s="89"/>
      <c r="AY4" s="24"/>
      <c r="AZ4" s="24"/>
      <c r="BA4" s="24"/>
      <c r="BB4" s="24"/>
      <c r="BC4" s="24"/>
      <c r="BD4" s="95"/>
      <c r="BE4" s="95"/>
      <c r="BF4" s="56"/>
    </row>
    <row r="5" spans="1:59" s="28" customFormat="1" ht="29.25" customHeight="1" x14ac:dyDescent="0.25">
      <c r="A5" s="47"/>
      <c r="B5" s="90" t="s">
        <v>77</v>
      </c>
      <c r="C5" s="62" t="s">
        <v>13</v>
      </c>
      <c r="D5" s="62" t="s">
        <v>14</v>
      </c>
      <c r="E5" s="62" t="s">
        <v>15</v>
      </c>
      <c r="F5" s="62" t="s">
        <v>16</v>
      </c>
      <c r="G5" s="62" t="s">
        <v>17</v>
      </c>
      <c r="H5" s="62" t="s">
        <v>18</v>
      </c>
      <c r="I5" s="62" t="s">
        <v>19</v>
      </c>
      <c r="J5" s="96" t="s">
        <v>32</v>
      </c>
      <c r="K5" s="90" t="s">
        <v>78</v>
      </c>
      <c r="L5" s="62" t="s">
        <v>13</v>
      </c>
      <c r="M5" s="62" t="s">
        <v>14</v>
      </c>
      <c r="N5" s="62" t="s">
        <v>15</v>
      </c>
      <c r="O5" s="62" t="s">
        <v>16</v>
      </c>
      <c r="P5" s="62" t="s">
        <v>17</v>
      </c>
      <c r="Q5" s="62" t="s">
        <v>18</v>
      </c>
      <c r="R5" s="62" t="s">
        <v>19</v>
      </c>
      <c r="S5" s="96" t="s">
        <v>32</v>
      </c>
      <c r="T5" s="90" t="s">
        <v>79</v>
      </c>
      <c r="U5" s="62" t="s">
        <v>13</v>
      </c>
      <c r="V5" s="62" t="s">
        <v>14</v>
      </c>
      <c r="W5" s="62" t="s">
        <v>15</v>
      </c>
      <c r="X5" s="62" t="s">
        <v>16</v>
      </c>
      <c r="Y5" s="62" t="s">
        <v>17</v>
      </c>
      <c r="Z5" s="62" t="s">
        <v>18</v>
      </c>
      <c r="AA5" s="62" t="s">
        <v>19</v>
      </c>
      <c r="AB5" s="96" t="s">
        <v>32</v>
      </c>
      <c r="AC5" s="90" t="s">
        <v>58</v>
      </c>
      <c r="AD5" s="62" t="s">
        <v>13</v>
      </c>
      <c r="AE5" s="62" t="s">
        <v>14</v>
      </c>
      <c r="AF5" s="62" t="s">
        <v>15</v>
      </c>
      <c r="AG5" s="62" t="s">
        <v>16</v>
      </c>
      <c r="AH5" s="62" t="s">
        <v>17</v>
      </c>
      <c r="AI5" s="62" t="s">
        <v>18</v>
      </c>
      <c r="AJ5" s="62" t="s">
        <v>19</v>
      </c>
      <c r="AK5" s="96" t="s">
        <v>32</v>
      </c>
      <c r="AL5" s="91"/>
      <c r="AM5" s="62" t="s">
        <v>13</v>
      </c>
      <c r="AN5" s="62" t="s">
        <v>14</v>
      </c>
      <c r="AO5" s="62" t="s">
        <v>15</v>
      </c>
      <c r="AP5" s="62" t="s">
        <v>16</v>
      </c>
      <c r="AQ5" s="62" t="s">
        <v>17</v>
      </c>
      <c r="AR5" s="62" t="s">
        <v>18</v>
      </c>
      <c r="AS5" s="62" t="s">
        <v>19</v>
      </c>
      <c r="AT5" s="96" t="s">
        <v>32</v>
      </c>
      <c r="AU5" s="91"/>
      <c r="AV5" s="62" t="s">
        <v>13</v>
      </c>
      <c r="AW5" s="62" t="s">
        <v>14</v>
      </c>
      <c r="AX5" s="96" t="s">
        <v>32</v>
      </c>
      <c r="AY5" s="96" t="s">
        <v>35</v>
      </c>
      <c r="AZ5" s="97">
        <f>AY12+AY13+AY14</f>
        <v>15</v>
      </c>
      <c r="BA5" s="97">
        <f>AZ5</f>
        <v>15</v>
      </c>
      <c r="BB5" s="51"/>
      <c r="BC5" s="51"/>
      <c r="BD5" s="51"/>
      <c r="BE5" s="51"/>
      <c r="BF5" s="44"/>
    </row>
    <row r="6" spans="1:59" s="30" customFormat="1" ht="15" customHeight="1" x14ac:dyDescent="0.25">
      <c r="A6" s="13"/>
      <c r="B6" s="61"/>
      <c r="C6" s="61" t="str">
        <f>IF(DAY(Jan_Dim1)=1,"",IF(AND(YEAR(Jan_Dim1+1)=Année_Calendaire,MONTH(Jan_Dim1+1)=1),Jan_Dim1+1,""))</f>
        <v/>
      </c>
      <c r="D6" s="61" t="str">
        <f>IF(DAY(Jan_Dim1)=1,"",IF(AND(YEAR(Jan_Dim1+2)=Année_Calendaire,MONTH(Jan_Dim1+2)=1),Jan_Dim1+2,""))</f>
        <v/>
      </c>
      <c r="E6" s="61" t="str">
        <f>IF(DAY(Jan_Dim1)=1,"",IF(AND(YEAR(Jan_Dim1+3)=Année_Calendaire,MONTH(Jan_Dim1+3)=1),Jan_Dim1+3,""))</f>
        <v/>
      </c>
      <c r="F6" s="61" t="str">
        <f>IF(DAY(Jan_Dim1)=1,"",IF(AND(YEAR(Jan_Dim1+4)=Année_Calendaire,MONTH(Jan_Dim1+4)=1),Jan_Dim1+4,""))</f>
        <v/>
      </c>
      <c r="G6" s="61">
        <f>IF(DAY(Jan_Dim1)=1,"",IF(AND(YEAR(Jan_Dim1+5)=Année_Calendaire,MONTH(Jan_Dim1+5)=1),Jan_Dim1+5,""))</f>
        <v>42370</v>
      </c>
      <c r="H6" s="61">
        <f>IF(DAY(Jan_Dim1)=1,"",IF(AND(YEAR(Jan_Dim1+6)=Année_Calendaire,MONTH(Jan_Dim1+6)=1),Jan_Dim1+6,""))</f>
        <v>42371</v>
      </c>
      <c r="I6" s="61">
        <f>IF(DAY(Jan_Dim1)=1,IF(AND(YEAR(Jan_Dim1)=Année_Calendaire,MONTH(Jan_Dim1)=1),Jan_Dim1,""),IF(AND(YEAR(Jan_Dim1+7)=Année_Calendaire,MONTH(Jan_Dim1+7)=1),Jan_Dim1+7,""))</f>
        <v>42372</v>
      </c>
      <c r="J6" s="96"/>
      <c r="K6" s="87"/>
      <c r="L6" s="61">
        <f>IF(DAY(Jan_Dim1)=1,IF(AND(YEAR(Jan_Dim1+1)=Année_Calendaire,MONTH(Jan_Dim1+1)=1),Jan_Dim1+1,""),IF(AND(YEAR(Jan_Dim1+8)=Année_Calendaire,MONTH(Jan_Dim1+8)=1),Jan_Dim1+8,""))</f>
        <v>42373</v>
      </c>
      <c r="M6" s="61">
        <f>IF(DAY(Jan_Dim1)=1,IF(AND(YEAR(Jan_Dim1+2)=Année_Calendaire,MONTH(Jan_Dim1+2)=1),Jan_Dim1+2,""),IF(AND(YEAR(Jan_Dim1+9)=Année_Calendaire,MONTH(Jan_Dim1+9)=1),Jan_Dim1+9,""))</f>
        <v>42374</v>
      </c>
      <c r="N6" s="61">
        <f>IF(DAY(Jan_Dim1)=1,IF(AND(YEAR(Jan_Dim1+3)=Année_Calendaire,MONTH(Jan_Dim1+3)=1),Jan_Dim1+3,""),IF(AND(YEAR(Jan_Dim1+10)=Année_Calendaire,MONTH(Jan_Dim1+10)=1),Jan_Dim1+10,""))</f>
        <v>42375</v>
      </c>
      <c r="O6" s="61">
        <f>IF(DAY(Jan_Dim1)=1,IF(AND(YEAR(Jan_Dim1+4)=Année_Calendaire,MONTH(Jan_Dim1+4)=1),Jan_Dim1+4,""),IF(AND(YEAR(Jan_Dim1+11)=Année_Calendaire,MONTH(Jan_Dim1+11)=1),Jan_Dim1+11,""))</f>
        <v>42376</v>
      </c>
      <c r="P6" s="61">
        <f>IF(DAY(Jan_Dim1)=1,IF(AND(YEAR(Jan_Dim1+5)=Année_Calendaire,MONTH(Jan_Dim1+5)=1),Jan_Dim1+5,""),IF(AND(YEAR(Jan_Dim1+12)=Année_Calendaire,MONTH(Jan_Dim1+12)=1),Jan_Dim1+12,""))</f>
        <v>42377</v>
      </c>
      <c r="Q6" s="61">
        <f>IF(DAY(Jan_Dim1)=1,IF(AND(YEAR(Jan_Dim1+6)=Année_Calendaire,MONTH(Jan_Dim1+6)=1),Jan_Dim1+6,""),IF(AND(YEAR(Jan_Dim1+13)=Année_Calendaire,MONTH(Jan_Dim1+13)=1),Jan_Dim1+13,""))</f>
        <v>42378</v>
      </c>
      <c r="R6" s="61">
        <f>IF(DAY(Jan_Dim1)=1,IF(AND(YEAR(Jan_Dim1+7)=Année_Calendaire,MONTH(Jan_Dim1+7)=1),Jan_Dim1+7,""),IF(AND(YEAR(Jan_Dim1+14)=Année_Calendaire,MONTH(Jan_Dim1+14)=1),Jan_Dim1+14,""))</f>
        <v>42379</v>
      </c>
      <c r="S6" s="96"/>
      <c r="T6" s="87"/>
      <c r="U6" s="61">
        <f>IF(DAY(Jan_Dim1)=1,IF(AND(YEAR(Jan_Dim1+8)=Année_Calendaire,MONTH(Jan_Dim1+8)=1),Jan_Dim1+8,""),IF(AND(YEAR(Jan_Dim1+15)=Année_Calendaire,MONTH(Jan_Dim1+15)=1),Jan_Dim1+15,""))</f>
        <v>42380</v>
      </c>
      <c r="V6" s="61">
        <f>IF(DAY(Jan_Dim1)=1,IF(AND(YEAR(Jan_Dim1+9)=Année_Calendaire,MONTH(Jan_Dim1+9)=1),Jan_Dim1+9,""),IF(AND(YEAR(Jan_Dim1+16)=Année_Calendaire,MONTH(Jan_Dim1+16)=1),Jan_Dim1+16,""))</f>
        <v>42381</v>
      </c>
      <c r="W6" s="61">
        <f>IF(DAY(Jan_Dim1)=1,IF(AND(YEAR(Jan_Dim1+10)=Année_Calendaire,MONTH(Jan_Dim1+10)=1),Jan_Dim1+10,""),IF(AND(YEAR(Jan_Dim1+17)=Année_Calendaire,MONTH(Jan_Dim1+17)=1),Jan_Dim1+17,""))</f>
        <v>42382</v>
      </c>
      <c r="X6" s="61">
        <f>IF(DAY(Jan_Dim1)=1,IF(AND(YEAR(Jan_Dim1+11)=Année_Calendaire,MONTH(Jan_Dim1+11)=1),Jan_Dim1+11,""),IF(AND(YEAR(Jan_Dim1+18)=Année_Calendaire,MONTH(Jan_Dim1+18)=1),Jan_Dim1+18,""))</f>
        <v>42383</v>
      </c>
      <c r="Y6" s="61">
        <f>IF(DAY(Jan_Dim1)=1,IF(AND(YEAR(Jan_Dim1+12)=Année_Calendaire,MONTH(Jan_Dim1+12)=1),Jan_Dim1+12,""),IF(AND(YEAR(Jan_Dim1+19)=Année_Calendaire,MONTH(Jan_Dim1+19)=1),Jan_Dim1+19,""))</f>
        <v>42384</v>
      </c>
      <c r="Z6" s="61">
        <f>IF(DAY(Jan_Dim1)=1,IF(AND(YEAR(Jan_Dim1+13)=Année_Calendaire,MONTH(Jan_Dim1+13)=1),Jan_Dim1+13,""),IF(AND(YEAR(Jan_Dim1+20)=Année_Calendaire,MONTH(Jan_Dim1+20)=1),Jan_Dim1+20,""))</f>
        <v>42385</v>
      </c>
      <c r="AA6" s="61">
        <f>IF(DAY(Jan_Dim1)=1,IF(AND(YEAR(Jan_Dim1+14)=Année_Calendaire,MONTH(Jan_Dim1+14)=1),Jan_Dim1+14,""),IF(AND(YEAR(Jan_Dim1+21)=Année_Calendaire,MONTH(Jan_Dim1+21)=1),Jan_Dim1+21,""))</f>
        <v>42386</v>
      </c>
      <c r="AB6" s="96"/>
      <c r="AC6" s="87"/>
      <c r="AD6" s="61">
        <f>IF(DAY(Jan_Dim1)=1,IF(AND(YEAR(Jan_Dim1+15)=Année_Calendaire,MONTH(Jan_Dim1+15)=1),Jan_Dim1+15,""),IF(AND(YEAR(Jan_Dim1+22)=Année_Calendaire,MONTH(Jan_Dim1+22)=1),Jan_Dim1+22,""))</f>
        <v>42387</v>
      </c>
      <c r="AE6" s="61">
        <f>IF(DAY(Jan_Dim1)=1,IF(AND(YEAR(Jan_Dim1+16)=Année_Calendaire,MONTH(Jan_Dim1+16)=1),Jan_Dim1+16,""),IF(AND(YEAR(Jan_Dim1+23)=Année_Calendaire,MONTH(Jan_Dim1+23)=1),Jan_Dim1+23,""))</f>
        <v>42388</v>
      </c>
      <c r="AF6" s="61">
        <f>IF(DAY(Jan_Dim1)=1,IF(AND(YEAR(Jan_Dim1+17)=Année_Calendaire,MONTH(Jan_Dim1+17)=1),Jan_Dim1+17,""),IF(AND(YEAR(Jan_Dim1+24)=Année_Calendaire,MONTH(Jan_Dim1+24)=1),Jan_Dim1+24,""))</f>
        <v>42389</v>
      </c>
      <c r="AG6" s="61">
        <f>IF(DAY(Jan_Dim1)=1,IF(AND(YEAR(Jan_Dim1+18)=Année_Calendaire,MONTH(Jan_Dim1+18)=1),Jan_Dim1+18,""),IF(AND(YEAR(Jan_Dim1+25)=Année_Calendaire,MONTH(Jan_Dim1+25)=1),Jan_Dim1+25,""))</f>
        <v>42390</v>
      </c>
      <c r="AH6" s="61">
        <f>IF(DAY(Jan_Dim1)=1,IF(AND(YEAR(Jan_Dim1+19)=Année_Calendaire,MONTH(Jan_Dim1+19)=1),Jan_Dim1+19,""),IF(AND(YEAR(Jan_Dim1+26)=Année_Calendaire,MONTH(Jan_Dim1+26)=1),Jan_Dim1+26,""))</f>
        <v>42391</v>
      </c>
      <c r="AI6" s="61">
        <f>IF(DAY(Jan_Dim1)=1,IF(AND(YEAR(Jan_Dim1+20)=Année_Calendaire,MONTH(Jan_Dim1+20)=1),Jan_Dim1+20,""),IF(AND(YEAR(Jan_Dim1+27)=Année_Calendaire,MONTH(Jan_Dim1+27)=1),Jan_Dim1+27,""))</f>
        <v>42392</v>
      </c>
      <c r="AJ6" s="61">
        <f>IF(DAY(Jan_Dim1)=1,IF(AND(YEAR(Jan_Dim1+21)=Année_Calendaire,MONTH(Jan_Dim1+21)=1),Jan_Dim1+21,""),IF(AND(YEAR(Jan_Dim1+28)=Année_Calendaire,MONTH(Jan_Dim1+28)=1),Jan_Dim1+28,""))</f>
        <v>42393</v>
      </c>
      <c r="AK6" s="96"/>
      <c r="AL6" s="87"/>
      <c r="AM6" s="61">
        <f>IF(DAY(Jan_Dim1)=1,IF(AND(YEAR(Jan_Dim1+22)=Année_Calendaire,MONTH(Jan_Dim1+22)=1),Jan_Dim1+22,""),IF(AND(YEAR(Jan_Dim1+29)=Année_Calendaire,MONTH(Jan_Dim1+29)=1),Jan_Dim1+29,""))</f>
        <v>42394</v>
      </c>
      <c r="AN6" s="61">
        <f>IF(DAY(Jan_Dim1)=1,IF(AND(YEAR(Jan_Dim1+23)=Année_Calendaire,MONTH(Jan_Dim1+23)=1),Jan_Dim1+23,""),IF(AND(YEAR(Jan_Dim1+30)=Année_Calendaire,MONTH(Jan_Dim1+30)=1),Jan_Dim1+30,""))</f>
        <v>42395</v>
      </c>
      <c r="AO6" s="61">
        <f>IF(DAY(Jan_Dim1)=1,IF(AND(YEAR(Jan_Dim1+24)=Année_Calendaire,MONTH(Jan_Dim1+24)=1),Jan_Dim1+24,""),IF(AND(YEAR(Jan_Dim1+31)=Année_Calendaire,MONTH(Jan_Dim1+31)=1),Jan_Dim1+31,""))</f>
        <v>42396</v>
      </c>
      <c r="AP6" s="61">
        <f>IF(DAY(Jan_Dim1)=1,IF(AND(YEAR(Jan_Dim1+25)=Année_Calendaire,MONTH(Jan_Dim1+25)=1),Jan_Dim1+25,""),IF(AND(YEAR(Jan_Dim1+32)=Année_Calendaire,MONTH(Jan_Dim1+32)=1),Jan_Dim1+32,""))</f>
        <v>42397</v>
      </c>
      <c r="AQ6" s="61">
        <f>IF(DAY(Jan_Dim1)=1,IF(AND(YEAR(Jan_Dim1+26)=Année_Calendaire,MONTH(Jan_Dim1+26)=1),Jan_Dim1+26,""),IF(AND(YEAR(Jan_Dim1+33)=Année_Calendaire,MONTH(Jan_Dim1+33)=1),Jan_Dim1+33,""))</f>
        <v>42398</v>
      </c>
      <c r="AR6" s="61">
        <f>IF(DAY(Jan_Dim1)=1,IF(AND(YEAR(Jan_Dim1+27)=Année_Calendaire,MONTH(Jan_Dim1+27)=1),Jan_Dim1+27,""),IF(AND(YEAR(Jan_Dim1+34)=Année_Calendaire,MONTH(Jan_Dim1+34)=1),Jan_Dim1+34,""))</f>
        <v>42399</v>
      </c>
      <c r="AS6" s="61">
        <f>IF(DAY(Jan_Dim1)=1,IF(AND(YEAR(Jan_Dim1+28)=Année_Calendaire,MONTH(Jan_Dim1+28)=1),Jan_Dim1+28,""),IF(AND(YEAR(Jan_Dim1+35)=Année_Calendaire,MONTH(Jan_Dim1+35)=1),Jan_Dim1+35,""))</f>
        <v>42400</v>
      </c>
      <c r="AT6" s="96"/>
      <c r="AU6" s="87"/>
      <c r="AV6" s="61" t="str">
        <f>IF(DAY(Jan_Dim1)=1,IF(AND(YEAR(Jan_Dim1+29)=Année_Calendaire,MONTH(Jan_Dim1+29)=1),Jan_Dim1+29,""),IF(AND(YEAR(Jan_Dim1+36)=Année_Calendaire,MONTH(Jan_Dim1+36)=1),Jan_Dim1+36,""))</f>
        <v/>
      </c>
      <c r="AW6" s="61" t="str">
        <f>IF(DAY(Jan_Dim1)=1,IF(AND(YEAR(Jan_Dim1+30)=Année_Calendaire,MONTH(Jan_Dim1+30)=1),Jan_Dim1+30,""),IF(AND(YEAR(Jan_Dim1+37)=Année_Calendaire,MONTH(Jan_Dim1+37)=1),Jan_Dim1+37,""))</f>
        <v/>
      </c>
      <c r="AX6" s="96"/>
      <c r="AY6" s="96"/>
      <c r="AZ6" s="97"/>
      <c r="BA6" s="97"/>
      <c r="BB6" s="40"/>
      <c r="BC6" s="40"/>
      <c r="BD6" s="40"/>
      <c r="BE6" s="40"/>
      <c r="BF6" s="29"/>
    </row>
    <row r="7" spans="1:59" s="33" customFormat="1" ht="15" customHeight="1" x14ac:dyDescent="0.25">
      <c r="A7" s="21" t="s">
        <v>2</v>
      </c>
      <c r="B7" s="81"/>
      <c r="C7" s="31" t="s">
        <v>55</v>
      </c>
      <c r="D7" s="31" t="s">
        <v>55</v>
      </c>
      <c r="E7" s="31" t="s">
        <v>55</v>
      </c>
      <c r="F7" s="31" t="s">
        <v>55</v>
      </c>
      <c r="G7" s="31" t="s">
        <v>55</v>
      </c>
      <c r="H7" s="31"/>
      <c r="I7" s="31"/>
      <c r="J7" s="60"/>
      <c r="K7" s="60"/>
      <c r="L7" s="31" t="s">
        <v>56</v>
      </c>
      <c r="M7" s="31" t="s">
        <v>56</v>
      </c>
      <c r="N7" s="31" t="s">
        <v>56</v>
      </c>
      <c r="O7" s="31" t="s">
        <v>56</v>
      </c>
      <c r="P7" s="31" t="s">
        <v>56</v>
      </c>
      <c r="Q7" s="31"/>
      <c r="R7" s="31"/>
      <c r="S7" s="60"/>
      <c r="T7" s="60"/>
      <c r="U7" s="31" t="s">
        <v>55</v>
      </c>
      <c r="V7" s="31"/>
      <c r="W7" s="31"/>
      <c r="X7" s="31" t="s">
        <v>55</v>
      </c>
      <c r="Y7" s="31" t="s">
        <v>55</v>
      </c>
      <c r="Z7" s="31"/>
      <c r="AA7" s="31"/>
      <c r="AB7" s="60"/>
      <c r="AC7" s="60"/>
      <c r="AD7" s="31" t="s">
        <v>57</v>
      </c>
      <c r="AE7" s="31" t="s">
        <v>57</v>
      </c>
      <c r="AF7" s="31" t="s">
        <v>57</v>
      </c>
      <c r="AG7" s="31" t="s">
        <v>57</v>
      </c>
      <c r="AH7" s="31" t="s">
        <v>57</v>
      </c>
      <c r="AI7" s="31"/>
      <c r="AJ7" s="31"/>
      <c r="AK7" s="60"/>
      <c r="AL7" s="60"/>
      <c r="AM7" s="31"/>
      <c r="AN7" s="31"/>
      <c r="AO7" s="31"/>
      <c r="AP7" s="31"/>
      <c r="AQ7" s="31"/>
      <c r="AR7" s="31"/>
      <c r="AS7" s="31"/>
      <c r="AT7" s="60"/>
      <c r="AU7" s="60"/>
      <c r="AV7" s="31"/>
      <c r="AW7" s="31"/>
      <c r="AX7" s="60"/>
      <c r="AY7" s="63"/>
      <c r="AZ7" s="52"/>
      <c r="BA7" s="52"/>
      <c r="BB7" s="52"/>
      <c r="BC7" s="52"/>
      <c r="BD7" s="52"/>
      <c r="BE7" s="52"/>
      <c r="BF7" s="32"/>
    </row>
    <row r="8" spans="1:59" s="33" customFormat="1" ht="15" customHeight="1" x14ac:dyDescent="0.25">
      <c r="A8" s="21" t="s">
        <v>12</v>
      </c>
      <c r="B8" s="81"/>
      <c r="C8" s="60">
        <f>IF(C7="Matin",1,IF(C7="AM",1,0))</f>
        <v>1</v>
      </c>
      <c r="D8" s="60">
        <f t="shared" ref="D8:I8" si="0">IF(D7="Matin",1,IF(D7="AM",1,0))</f>
        <v>1</v>
      </c>
      <c r="E8" s="60">
        <f t="shared" si="0"/>
        <v>1</v>
      </c>
      <c r="F8" s="60">
        <f t="shared" si="0"/>
        <v>1</v>
      </c>
      <c r="G8" s="60">
        <f t="shared" si="0"/>
        <v>1</v>
      </c>
      <c r="H8" s="60">
        <f t="shared" si="0"/>
        <v>0</v>
      </c>
      <c r="I8" s="60">
        <f t="shared" si="0"/>
        <v>0</v>
      </c>
      <c r="J8" s="60">
        <f>SUM(C8:I8)</f>
        <v>5</v>
      </c>
      <c r="K8" s="60"/>
      <c r="L8" s="60">
        <f t="shared" ref="L8:R8" si="1">IF(L7="Matin",1,IF(L7="AM",1,0))</f>
        <v>0</v>
      </c>
      <c r="M8" s="60">
        <f t="shared" si="1"/>
        <v>0</v>
      </c>
      <c r="N8" s="60">
        <f t="shared" si="1"/>
        <v>0</v>
      </c>
      <c r="O8" s="60">
        <f t="shared" si="1"/>
        <v>0</v>
      </c>
      <c r="P8" s="60">
        <f t="shared" si="1"/>
        <v>0</v>
      </c>
      <c r="Q8" s="60">
        <f t="shared" si="1"/>
        <v>0</v>
      </c>
      <c r="R8" s="60">
        <f t="shared" si="1"/>
        <v>0</v>
      </c>
      <c r="S8" s="60">
        <f>SUM(L8:R8)</f>
        <v>0</v>
      </c>
      <c r="T8" s="60"/>
      <c r="U8" s="60">
        <f t="shared" ref="U8:AA8" si="2">IF(U7="Matin",1,IF(U7="AM",1,0))</f>
        <v>1</v>
      </c>
      <c r="V8" s="60">
        <f t="shared" si="2"/>
        <v>0</v>
      </c>
      <c r="W8" s="60">
        <f t="shared" si="2"/>
        <v>0</v>
      </c>
      <c r="X8" s="60">
        <f t="shared" si="2"/>
        <v>1</v>
      </c>
      <c r="Y8" s="60">
        <f t="shared" si="2"/>
        <v>1</v>
      </c>
      <c r="Z8" s="60">
        <f t="shared" si="2"/>
        <v>0</v>
      </c>
      <c r="AA8" s="60">
        <f t="shared" si="2"/>
        <v>0</v>
      </c>
      <c r="AB8" s="60">
        <f>SUM(U8:AA8)</f>
        <v>3</v>
      </c>
      <c r="AC8" s="60"/>
      <c r="AD8" s="60">
        <f t="shared" ref="AD8:AJ8" si="3">IF(AD7="Matin",1,IF(AD7="AM",1,0))</f>
        <v>1</v>
      </c>
      <c r="AE8" s="60">
        <f t="shared" si="3"/>
        <v>1</v>
      </c>
      <c r="AF8" s="60">
        <f t="shared" si="3"/>
        <v>1</v>
      </c>
      <c r="AG8" s="60">
        <f t="shared" si="3"/>
        <v>1</v>
      </c>
      <c r="AH8" s="60">
        <f t="shared" si="3"/>
        <v>1</v>
      </c>
      <c r="AI8" s="60">
        <f t="shared" si="3"/>
        <v>0</v>
      </c>
      <c r="AJ8" s="60">
        <f t="shared" si="3"/>
        <v>0</v>
      </c>
      <c r="AK8" s="60">
        <f>SUM(AD8:AJ8)</f>
        <v>5</v>
      </c>
      <c r="AL8" s="60"/>
      <c r="AM8" s="60">
        <f t="shared" ref="AM8:AS8" si="4">IF(AM7="Matin",1,IF(AM7="AM",1,0))</f>
        <v>0</v>
      </c>
      <c r="AN8" s="60">
        <f t="shared" si="4"/>
        <v>0</v>
      </c>
      <c r="AO8" s="60">
        <f t="shared" si="4"/>
        <v>0</v>
      </c>
      <c r="AP8" s="60">
        <f t="shared" si="4"/>
        <v>0</v>
      </c>
      <c r="AQ8" s="60">
        <f t="shared" si="4"/>
        <v>0</v>
      </c>
      <c r="AR8" s="60">
        <f t="shared" si="4"/>
        <v>0</v>
      </c>
      <c r="AS8" s="60">
        <f t="shared" si="4"/>
        <v>0</v>
      </c>
      <c r="AT8" s="60">
        <f>SUM(AM8:AS8)</f>
        <v>0</v>
      </c>
      <c r="AU8" s="60"/>
      <c r="AV8" s="60">
        <f t="shared" ref="AV8:AW8" si="5">IF(AV7="Matin",1,IF(AV7="AM",1,0))</f>
        <v>0</v>
      </c>
      <c r="AW8" s="60">
        <f t="shared" si="5"/>
        <v>0</v>
      </c>
      <c r="AX8" s="60">
        <f t="shared" ref="AX8:AX15" si="6">SUM(AV8:AW8)</f>
        <v>0</v>
      </c>
      <c r="AY8" s="60">
        <f>J8+S8+AB8+AK8+AT8+AX8</f>
        <v>13</v>
      </c>
      <c r="AZ8" s="31"/>
      <c r="BA8" s="31"/>
      <c r="BB8" s="31"/>
      <c r="BC8" s="31"/>
      <c r="BD8" s="31"/>
      <c r="BE8" s="31"/>
      <c r="BF8" s="31"/>
      <c r="BG8" s="34"/>
    </row>
    <row r="9" spans="1:59" s="33" customFormat="1" ht="15" customHeight="1" x14ac:dyDescent="0.25">
      <c r="A9" s="21" t="s">
        <v>4</v>
      </c>
      <c r="B9" s="81"/>
      <c r="C9" s="60">
        <f>IF(C10&gt;=1,1,0)</f>
        <v>1</v>
      </c>
      <c r="D9" s="60">
        <f>IF(D10&gt;=1,1,0)</f>
        <v>1</v>
      </c>
      <c r="E9" s="60">
        <f t="shared" ref="E9:I9" si="7">IF(E10&gt;=1,1,0)</f>
        <v>1</v>
      </c>
      <c r="F9" s="60">
        <f t="shared" si="7"/>
        <v>1</v>
      </c>
      <c r="G9" s="60">
        <f t="shared" si="7"/>
        <v>1</v>
      </c>
      <c r="H9" s="60">
        <f t="shared" si="7"/>
        <v>0</v>
      </c>
      <c r="I9" s="60">
        <f t="shared" si="7"/>
        <v>0</v>
      </c>
      <c r="J9" s="60">
        <f t="shared" ref="J9:J19" si="8">SUM(C9:I9)</f>
        <v>5</v>
      </c>
      <c r="K9" s="60"/>
      <c r="L9" s="60">
        <f>IF(L10&gt;=1,1,0)</f>
        <v>1</v>
      </c>
      <c r="M9" s="60">
        <f t="shared" ref="M9:R9" si="9">IF(M10&gt;=1,1,0)</f>
        <v>1</v>
      </c>
      <c r="N9" s="60">
        <f t="shared" si="9"/>
        <v>1</v>
      </c>
      <c r="O9" s="60">
        <f t="shared" si="9"/>
        <v>1</v>
      </c>
      <c r="P9" s="60">
        <f t="shared" si="9"/>
        <v>1</v>
      </c>
      <c r="Q9" s="60">
        <f t="shared" si="9"/>
        <v>0</v>
      </c>
      <c r="R9" s="60">
        <f t="shared" si="9"/>
        <v>0</v>
      </c>
      <c r="S9" s="60">
        <f t="shared" ref="S9:S19" si="10">SUM(L9:R9)</f>
        <v>5</v>
      </c>
      <c r="T9" s="60"/>
      <c r="U9" s="60">
        <f>IF(U10&gt;=1,1,0)</f>
        <v>1</v>
      </c>
      <c r="V9" s="60">
        <f t="shared" ref="V9:AA9" si="11">IF(V10&gt;=1,1,0)</f>
        <v>0</v>
      </c>
      <c r="W9" s="60">
        <f t="shared" si="11"/>
        <v>0</v>
      </c>
      <c r="X9" s="60">
        <f t="shared" si="11"/>
        <v>1</v>
      </c>
      <c r="Y9" s="60">
        <f t="shared" si="11"/>
        <v>1</v>
      </c>
      <c r="Z9" s="60">
        <f t="shared" si="11"/>
        <v>0</v>
      </c>
      <c r="AA9" s="60">
        <f t="shared" si="11"/>
        <v>0</v>
      </c>
      <c r="AB9" s="60">
        <f t="shared" ref="AB9:AB19" si="12">SUM(U9:AA9)</f>
        <v>3</v>
      </c>
      <c r="AC9" s="60"/>
      <c r="AD9" s="60">
        <f>IF(AD10&gt;=1,1,0)</f>
        <v>1</v>
      </c>
      <c r="AE9" s="60">
        <f t="shared" ref="AE9:AJ9" si="13">IF(AE10&gt;=1,1,0)</f>
        <v>1</v>
      </c>
      <c r="AF9" s="60">
        <f t="shared" si="13"/>
        <v>1</v>
      </c>
      <c r="AG9" s="60">
        <f t="shared" si="13"/>
        <v>1</v>
      </c>
      <c r="AH9" s="60">
        <f t="shared" si="13"/>
        <v>1</v>
      </c>
      <c r="AI9" s="60">
        <f t="shared" si="13"/>
        <v>0</v>
      </c>
      <c r="AJ9" s="60">
        <f t="shared" si="13"/>
        <v>0</v>
      </c>
      <c r="AK9" s="60">
        <f t="shared" ref="AK9:AK19" si="14">SUM(AD9:AJ9)</f>
        <v>5</v>
      </c>
      <c r="AL9" s="60"/>
      <c r="AM9" s="60">
        <f>IF(AM10&gt;=1,1,0)</f>
        <v>0</v>
      </c>
      <c r="AN9" s="60">
        <f t="shared" ref="AN9:AS9" si="15">IF(AN10&gt;=1,1,0)</f>
        <v>0</v>
      </c>
      <c r="AO9" s="60">
        <f t="shared" si="15"/>
        <v>0</v>
      </c>
      <c r="AP9" s="60">
        <f t="shared" si="15"/>
        <v>0</v>
      </c>
      <c r="AQ9" s="60">
        <f t="shared" si="15"/>
        <v>0</v>
      </c>
      <c r="AR9" s="60">
        <f t="shared" si="15"/>
        <v>0</v>
      </c>
      <c r="AS9" s="60">
        <f t="shared" si="15"/>
        <v>0</v>
      </c>
      <c r="AT9" s="60">
        <f t="shared" ref="AT9:AT19" si="16">SUM(AM9:AS9)</f>
        <v>0</v>
      </c>
      <c r="AU9" s="60"/>
      <c r="AV9" s="60">
        <f>IF(AV10&gt;=1,1,0)</f>
        <v>0</v>
      </c>
      <c r="AW9" s="60">
        <f t="shared" ref="AW9" si="17">IF(AW10&gt;=1,1,0)</f>
        <v>0</v>
      </c>
      <c r="AX9" s="60">
        <f t="shared" si="6"/>
        <v>0</v>
      </c>
      <c r="AY9" s="60">
        <f t="shared" ref="AY9:AY18" si="18">J9+S9+AB9+AK9+AT9+AX9</f>
        <v>18</v>
      </c>
      <c r="AZ9" s="52"/>
      <c r="BA9" s="52"/>
      <c r="BB9" s="52"/>
      <c r="BC9" s="52"/>
      <c r="BD9" s="52"/>
      <c r="BE9" s="52"/>
      <c r="BF9" s="35"/>
    </row>
    <row r="10" spans="1:59" s="33" customFormat="1" ht="15" customHeight="1" x14ac:dyDescent="0.25">
      <c r="A10" s="21" t="s">
        <v>3</v>
      </c>
      <c r="B10" s="81"/>
      <c r="C10" s="31">
        <v>8</v>
      </c>
      <c r="D10" s="31">
        <v>8</v>
      </c>
      <c r="E10" s="31">
        <v>8</v>
      </c>
      <c r="F10" s="31">
        <v>8</v>
      </c>
      <c r="G10" s="31">
        <v>8</v>
      </c>
      <c r="H10" s="31"/>
      <c r="I10" s="31"/>
      <c r="J10" s="60">
        <f t="shared" si="8"/>
        <v>40</v>
      </c>
      <c r="K10" s="60"/>
      <c r="L10" s="31">
        <v>8</v>
      </c>
      <c r="M10" s="31">
        <v>8</v>
      </c>
      <c r="N10" s="31">
        <v>8</v>
      </c>
      <c r="O10" s="31">
        <v>8</v>
      </c>
      <c r="P10" s="31">
        <v>8</v>
      </c>
      <c r="Q10" s="31"/>
      <c r="R10" s="31"/>
      <c r="S10" s="60">
        <f t="shared" si="10"/>
        <v>40</v>
      </c>
      <c r="T10" s="60"/>
      <c r="U10" s="31">
        <v>8</v>
      </c>
      <c r="V10" s="31"/>
      <c r="W10" s="31"/>
      <c r="X10" s="31">
        <v>8</v>
      </c>
      <c r="Y10" s="31">
        <v>8</v>
      </c>
      <c r="Z10" s="31"/>
      <c r="AA10" s="31"/>
      <c r="AB10" s="60">
        <f t="shared" si="12"/>
        <v>24</v>
      </c>
      <c r="AC10" s="60"/>
      <c r="AD10" s="31">
        <v>8</v>
      </c>
      <c r="AE10" s="31">
        <v>8</v>
      </c>
      <c r="AF10" s="31">
        <v>8</v>
      </c>
      <c r="AG10" s="31">
        <v>8</v>
      </c>
      <c r="AH10" s="31">
        <v>8</v>
      </c>
      <c r="AI10" s="31"/>
      <c r="AJ10" s="31"/>
      <c r="AK10" s="60">
        <f t="shared" si="14"/>
        <v>40</v>
      </c>
      <c r="AL10" s="60"/>
      <c r="AM10" s="31"/>
      <c r="AN10" s="31"/>
      <c r="AO10" s="31"/>
      <c r="AP10" s="31"/>
      <c r="AQ10" s="31"/>
      <c r="AR10" s="31"/>
      <c r="AS10" s="31"/>
      <c r="AT10" s="60">
        <f t="shared" si="16"/>
        <v>0</v>
      </c>
      <c r="AU10" s="60"/>
      <c r="AV10" s="31"/>
      <c r="AW10" s="31"/>
      <c r="AX10" s="60">
        <f t="shared" si="6"/>
        <v>0</v>
      </c>
      <c r="AY10" s="60">
        <f t="shared" si="18"/>
        <v>144</v>
      </c>
      <c r="AZ10" s="52"/>
      <c r="BA10" s="52"/>
      <c r="BB10" s="52"/>
      <c r="BC10" s="52"/>
      <c r="BD10" s="52"/>
      <c r="BE10" s="52"/>
      <c r="BF10" s="35"/>
    </row>
    <row r="11" spans="1:59" s="33" customFormat="1" ht="15" customHeight="1" x14ac:dyDescent="0.25">
      <c r="A11" s="36" t="s">
        <v>20</v>
      </c>
      <c r="B11" s="82"/>
      <c r="C11" s="66">
        <f>IF(C5&lt;&gt;"Dim",IF(C10&gt;32,MIN(C10,35)-32,0),0)</f>
        <v>0</v>
      </c>
      <c r="D11" s="66">
        <f>IF(D5&lt;&gt;"Dim",IF(SUM($C10:D10)&gt;32,MIN(SUM($C10:D10),35)-32-SUM($C11:C11),0),0)</f>
        <v>0</v>
      </c>
      <c r="E11" s="66">
        <f>IF(E5&lt;&gt;"Dim",IF(SUM($C10:E10)&gt;32,MIN(SUM($C10:E10),35)-32-SUM($C11:D11),0),0)</f>
        <v>0</v>
      </c>
      <c r="F11" s="66">
        <f>IF(F5&lt;&gt;"Dim",IF(SUM($C10:F10)&gt;32,MIN(SUM($C10:F10),35)-32-SUM($C11:E11),0),0)</f>
        <v>0</v>
      </c>
      <c r="G11" s="66">
        <f>IF(G5&lt;&gt;"Dim",IF(SUM($C10:G10)&gt;32,MIN(SUM($C10:G10),35)-32-SUM($C11:F11),0),0)</f>
        <v>3</v>
      </c>
      <c r="H11" s="66">
        <f>IF(H5&lt;&gt;"Dim",IF(SUM($C10:H10)&gt;32,MIN(SUM($C10:H10),35)-32-SUM($C11:G11),0),0)</f>
        <v>0</v>
      </c>
      <c r="I11" s="66">
        <f>IF(I5&lt;&gt;"Dim",IF(SUM($C10:I10)&gt;32,MIN(SUM($C10:I10),35)-32-SUM($C11:H11),0),0)</f>
        <v>0</v>
      </c>
      <c r="J11" s="60">
        <f t="shared" si="8"/>
        <v>3</v>
      </c>
      <c r="K11" s="60"/>
      <c r="L11" s="66">
        <f>IF(L5&lt;&gt;"Dim",IF(L10&gt;32,MIN(L10,35)-32,0),0)</f>
        <v>0</v>
      </c>
      <c r="M11" s="66">
        <f>IF(M5&lt;&gt;"Dim",IF(SUM($L10:M10)&gt;32,MIN(SUM($L10:M10),35)-32-SUM($L11:L11),0),0)</f>
        <v>0</v>
      </c>
      <c r="N11" s="66">
        <f>IF(N5&lt;&gt;"Dim",IF(SUM($L10:N10)&gt;32,MIN(SUM($L10:N10),35)-32-SUM($L11:M11),0),0)</f>
        <v>0</v>
      </c>
      <c r="O11" s="66">
        <f>IF(O5&lt;&gt;"Dim",IF(SUM($L10:O10)&gt;32,MIN(SUM($L10:O10),35)-32-SUM($L11:N11),0),0)</f>
        <v>0</v>
      </c>
      <c r="P11" s="66">
        <f>IF(P5&lt;&gt;"Dim",IF(SUM($L10:P10)&gt;32,MIN(SUM($L10:P10),35)-32-SUM($L11:O11),0),0)</f>
        <v>3</v>
      </c>
      <c r="Q11" s="66">
        <f>IF(Q5&lt;&gt;"Dim",IF(SUM($L10:Q10)&gt;32,MIN(SUM($L10:Q10),35)-32-SUM($L11:P11),0),0)</f>
        <v>0</v>
      </c>
      <c r="R11" s="66">
        <f>IF(R5&lt;&gt;"Dim",IF(SUM($L10:R10)&gt;32,MIN(SUM($L10:R10),35)-32-SUM($L11:Q11),0),0)</f>
        <v>0</v>
      </c>
      <c r="S11" s="60">
        <f t="shared" si="10"/>
        <v>3</v>
      </c>
      <c r="T11" s="60"/>
      <c r="U11" s="66">
        <f>IF(U5&lt;&gt;"Dim",IF(U10&gt;32,MIN(U10,35)-32,0),0)</f>
        <v>0</v>
      </c>
      <c r="V11" s="66">
        <f>IF(V5&lt;&gt;"Dim",IF(SUM($U10:V10)&gt;32,MIN(SUM($U10:V10),35)-32-SUM($U11:U11),0),0)</f>
        <v>0</v>
      </c>
      <c r="W11" s="66">
        <f>IF(W5&lt;&gt;"Dim",IF(SUM($U10:W10)&gt;32,MIN(SUM($U10:W10),35)-32-SUM($U11:V11),0),0)</f>
        <v>0</v>
      </c>
      <c r="X11" s="66">
        <f>IF(X5&lt;&gt;"Dim",IF(SUM($U10:X10)&gt;32,MIN(SUM($U10:X10),35)-32-SUM($U11:W11),0),0)</f>
        <v>0</v>
      </c>
      <c r="Y11" s="66">
        <f>IF(Y5&lt;&gt;"Dim",IF(SUM($U10:Y10)&gt;32,MIN(SUM($U10:Y10),35)-32-SUM($U11:X11),0),0)</f>
        <v>0</v>
      </c>
      <c r="Z11" s="66">
        <f>IF(Z5&lt;&gt;"Dim",IF(SUM($U10:Z10)&gt;32,MIN(SUM($U10:Z10),35)-32-SUM($U11:Y11),0),0)</f>
        <v>0</v>
      </c>
      <c r="AA11" s="66">
        <f>IF(AA5&lt;&gt;"Dim",IF(SUM($U10:AA10)&gt;32,MIN(SUM($U10:AA10),35)-32-SUM($U11:Z11),0),0)</f>
        <v>0</v>
      </c>
      <c r="AB11" s="60">
        <f t="shared" si="12"/>
        <v>0</v>
      </c>
      <c r="AC11" s="60"/>
      <c r="AD11" s="66">
        <f>IF(AD5&lt;&gt;"Dim",IF(AD10&gt;32,MIN(AD10,35)-32,0),0)</f>
        <v>0</v>
      </c>
      <c r="AE11" s="66">
        <f>IF(AE5&lt;&gt;"Dim",IF(SUM($AD10:AE10)&gt;32,MIN(SUM($AD10:AE10),35)-32-SUM($AD11:AD11),0),0)</f>
        <v>0</v>
      </c>
      <c r="AF11" s="66">
        <f>IF(AF5&lt;&gt;"Dim",IF(SUM($AD10:AF10)&gt;32,MIN(SUM($AD10:AF10),35)-32-SUM($AD11:AE11),0),0)</f>
        <v>0</v>
      </c>
      <c r="AG11" s="66">
        <f>IF(AG5&lt;&gt;"Dim",IF(SUM($AD10:AG10)&gt;32,MIN(SUM($AD10:AG10),35)-32-SUM($AD11:AF11),0),0)</f>
        <v>0</v>
      </c>
      <c r="AH11" s="66">
        <f>IF(AH5&lt;&gt;"Dim",IF(SUM($AD10:AH10)&gt;32,MIN(SUM($AD10:AH10),35)-32-SUM($AD11:AG11),0),0)</f>
        <v>3</v>
      </c>
      <c r="AI11" s="66">
        <f>IF(AI5&lt;&gt;"Dim",IF(SUM($AD10:AI10)&gt;32,MIN(SUM($AD10:AI10),35)-32-SUM($AD11:AH11),0),0)</f>
        <v>0</v>
      </c>
      <c r="AJ11" s="66">
        <f>IF(AJ5&lt;&gt;"Dim",IF(SUM($AD10:AJ10)&gt;32,MIN(SUM($AD10:AJ10),35)-32-SUM($AD11:AI11),0),0)</f>
        <v>0</v>
      </c>
      <c r="AK11" s="60">
        <f t="shared" si="14"/>
        <v>3</v>
      </c>
      <c r="AL11" s="60"/>
      <c r="AM11" s="66">
        <f>IF(AM5&lt;&gt;"Dim",IF(AM10&gt;32,MIN(AM10,35)-32,0),0)</f>
        <v>0</v>
      </c>
      <c r="AN11" s="66">
        <f>IF(AN5&lt;&gt;"Dim",IF(SUM($AM10:AN10)&gt;32,MIN(SUM($AM10:AN10),35)-32-SUM($AM11:AM11),0),0)</f>
        <v>0</v>
      </c>
      <c r="AO11" s="66">
        <f>IF(AO5&lt;&gt;"Dim",IF(SUM($AM10:AO10)&gt;32,MIN(SUM($AM10:AO10),35)-32-SUM($AM11:AN11),0),0)</f>
        <v>0</v>
      </c>
      <c r="AP11" s="66">
        <f>IF(AP5&lt;&gt;"Dim",IF(SUM($AM10:AP10)&gt;32,MIN(SUM($AM10:AP10),35)-32-SUM($AM11:AO11),0),0)</f>
        <v>0</v>
      </c>
      <c r="AQ11" s="66">
        <f>IF(AQ5&lt;&gt;"Dim",IF(SUM($AM10:AQ10)&gt;32,MIN(SUM($AM10:AQ10),35)-32-SUM($AM11:AP11),0),0)</f>
        <v>0</v>
      </c>
      <c r="AR11" s="66">
        <f>IF(AR5&lt;&gt;"Dim",IF(SUM($AM10:AR10)&gt;32,MIN(SUM($AM10:AR10),35)-32-SUM($AM11:AQ11),0),0)</f>
        <v>0</v>
      </c>
      <c r="AS11" s="66">
        <f>IF(AS5&lt;&gt;"Dim",IF(SUM($AM10:AS10)&gt;32,MIN(SUM($AM10:AS10),35)-32-SUM($AM11:AR11),0),0)</f>
        <v>0</v>
      </c>
      <c r="AT11" s="60">
        <f t="shared" si="16"/>
        <v>0</v>
      </c>
      <c r="AU11" s="60"/>
      <c r="AV11" s="66">
        <f>IF(AV5&lt;&gt;"Dim",IF(AV10&gt;32,MIN(AV10,35)-32,0),0)</f>
        <v>0</v>
      </c>
      <c r="AW11" s="66">
        <f>IF(AW5&lt;&gt;"Dim",IF(SUM($AV10:AW10)&gt;32,MIN(SUM($AV10:AW10),35)-32-SUM($AV11:AV11),0),0)</f>
        <v>0</v>
      </c>
      <c r="AX11" s="60">
        <f t="shared" si="6"/>
        <v>0</v>
      </c>
      <c r="AY11" s="60">
        <f t="shared" si="18"/>
        <v>9</v>
      </c>
      <c r="AZ11" s="52"/>
      <c r="BA11" s="52"/>
      <c r="BB11" s="52"/>
      <c r="BC11" s="52"/>
      <c r="BD11" s="52"/>
      <c r="BE11" s="52"/>
      <c r="BF11" s="35"/>
    </row>
    <row r="12" spans="1:59" s="33" customFormat="1" ht="15" customHeight="1" x14ac:dyDescent="0.25">
      <c r="A12" s="21" t="s">
        <v>6</v>
      </c>
      <c r="B12" s="81"/>
      <c r="C12" s="66">
        <f>IF(C5&lt;&gt;"Dim",IF(C10&gt;35,(MIN(C10,43)-35),0),0)</f>
        <v>0</v>
      </c>
      <c r="D12" s="66">
        <f>IF(D5&lt;&gt;"Dim",IF(SUM($C10:D10)&gt;35,(MIN(SUM($C10:D10),43)-35-SUM($C12:C12)),0),0)</f>
        <v>0</v>
      </c>
      <c r="E12" s="66">
        <f>IF(E5&lt;&gt;"Dim",IF(SUM($C10:E10)&gt;35,(MIN(SUM($C10:E10),43)-35-SUM($C12:D12)),0),0)</f>
        <v>0</v>
      </c>
      <c r="F12" s="66">
        <f>IF(F5&lt;&gt;"Dim",IF(SUM($C10:F10)&gt;35,(MIN(SUM($C10:F10),43)-35-SUM($C12:E12)),0),0)</f>
        <v>0</v>
      </c>
      <c r="G12" s="66">
        <f>IF(G5&lt;&gt;"Dim",IF(SUM($C10:G10)&gt;35,(MIN(SUM($C10:G10),43)-35-SUM($C12:F12)),0),0)</f>
        <v>5</v>
      </c>
      <c r="H12" s="66">
        <f>IF(H5&lt;&gt;"Dim",IF(SUM($C10:H10)&gt;35,(MIN(SUM($C10:H10),43)-35-SUM($C12:G12)),0),0)</f>
        <v>0</v>
      </c>
      <c r="I12" s="66">
        <f>IF(I5&lt;&gt;"Dim",IF(SUM($C10:I10)&gt;35,(MIN(SUM($C10:I10),43)-35-SUM($C12:H12)),0),0)</f>
        <v>0</v>
      </c>
      <c r="J12" s="60">
        <f t="shared" si="8"/>
        <v>5</v>
      </c>
      <c r="K12" s="60"/>
      <c r="L12" s="66">
        <f>IF(L5&lt;&gt;"Dim",IF(L10&gt;35,(MIN(L10,43)-35),0),0)</f>
        <v>0</v>
      </c>
      <c r="M12" s="66">
        <f>IF(M5&lt;&gt;"Dim",IF(SUM($L10:M10)&gt;35,(MIN(SUM($L10:M10),43)-35-SUM($L12:L12)),0),0)</f>
        <v>0</v>
      </c>
      <c r="N12" s="66">
        <f>IF(N5&lt;&gt;"Dim",IF(SUM($L10:N10)&gt;35,(MIN(SUM($L10:N10),43)-35-SUM($L12:M12)),0),0)</f>
        <v>0</v>
      </c>
      <c r="O12" s="66">
        <f>IF(O5&lt;&gt;"Dim",IF(SUM($L10:O10)&gt;35,(MIN(SUM($L10:O10),43)-35-SUM($L12:N12)),0),0)</f>
        <v>0</v>
      </c>
      <c r="P12" s="66">
        <f>IF(P5&lt;&gt;"Dim",IF(SUM($L10:P10)&gt;35,(MIN(SUM($L10:P10),43)-35-SUM($L12:O12)),0),0)</f>
        <v>5</v>
      </c>
      <c r="Q12" s="66">
        <f>IF(Q5&lt;&gt;"Dim",IF(SUM($L10:Q10)&gt;35,(MIN(SUM($L10:Q10),43)-35-SUM($L12:P12)),0),0)</f>
        <v>0</v>
      </c>
      <c r="R12" s="66">
        <f>IF(R5&lt;&gt;"Dim",IF(SUM($L10:R10)&gt;35,(MIN(SUM($L10:R10),43)-35-SUM($L12:Q12)),0),0)</f>
        <v>0</v>
      </c>
      <c r="S12" s="60">
        <f t="shared" si="10"/>
        <v>5</v>
      </c>
      <c r="T12" s="60"/>
      <c r="U12" s="66">
        <f>IF(U5&lt;&gt;"Dim",IF(U10&gt;35,(MIN(U10,43)-35),0),0)</f>
        <v>0</v>
      </c>
      <c r="V12" s="66">
        <f>IF(V5&lt;&gt;"Dim",IF(SUM($U10:V10)&gt;35,(MIN(SUM($U10:V10),43)-35-SUM($U12:U12)),0),0)</f>
        <v>0</v>
      </c>
      <c r="W12" s="66">
        <f>IF(W5&lt;&gt;"Dim",IF(SUM($U10:W10)&gt;35,(MIN(SUM($U10:W10),43)-35-SUM($U12:V12)),0),0)</f>
        <v>0</v>
      </c>
      <c r="X12" s="66">
        <f>IF(X5&lt;&gt;"Dim",IF(SUM($U10:X10)&gt;35,(MIN(SUM($U10:X10),43)-35-SUM($U12:W12)),0),0)</f>
        <v>0</v>
      </c>
      <c r="Y12" s="66">
        <f>IF(Y5&lt;&gt;"Dim",IF(SUM($U10:Y10)&gt;35,(MIN(SUM($U10:Y10),43)-35-SUM($U12:X12)),0),0)</f>
        <v>0</v>
      </c>
      <c r="Z12" s="66">
        <f>IF(Z5&lt;&gt;"Dim",IF(SUM($U10:Z10)&gt;35,(MIN(SUM($U10:Z10),43)-35-SUM($U12:Y12)),0),0)</f>
        <v>0</v>
      </c>
      <c r="AA12" s="66">
        <f>IF(AA5&lt;&gt;"Dim",IF(SUM($U10:AA10)&gt;35,(MIN(SUM($U10:AA10),43)-35-SUM($U12:Z12)),0),0)</f>
        <v>0</v>
      </c>
      <c r="AB12" s="60">
        <f t="shared" si="12"/>
        <v>0</v>
      </c>
      <c r="AC12" s="60"/>
      <c r="AD12" s="66">
        <f>IF(AD5&lt;&gt;"Dim",IF(AD10&gt;35,(MIN(AD10,43)-35),0),0)</f>
        <v>0</v>
      </c>
      <c r="AE12" s="66">
        <f>IF(AE5&lt;&gt;"Dim",IF(SUM($AD10:AE10)&gt;35,(MIN(SUM($AD10:AE10),43)-35-SUM($AD12:AD12)),0),0)</f>
        <v>0</v>
      </c>
      <c r="AF12" s="66">
        <f>IF(AF5&lt;&gt;"Dim",IF(SUM($AD10:AF10)&gt;35,(MIN(SUM($AD10:AF10),43)-35-SUM($AD12:AE12)),0),0)</f>
        <v>0</v>
      </c>
      <c r="AG12" s="66">
        <f>IF(AG5&lt;&gt;"Dim",IF(SUM($AD10:AG10)&gt;35,(MIN(SUM($AD10:AG10),43)-35-SUM($AD12:AF12)),0),0)</f>
        <v>0</v>
      </c>
      <c r="AH12" s="66">
        <f>IF(AH5&lt;&gt;"Dim",IF(SUM($AD10:AH10)&gt;35,(MIN(SUM($AD10:AH10),43)-35-SUM($AD12:AG12)),0),0)</f>
        <v>5</v>
      </c>
      <c r="AI12" s="66">
        <f>IF(AI5&lt;&gt;"Dim",IF(SUM($AD10:AI10)&gt;35,(MIN(SUM($AD10:AI10),43)-35-SUM($AD12:AH12)),0),0)</f>
        <v>0</v>
      </c>
      <c r="AJ12" s="66">
        <f>IF(AJ5&lt;&gt;"Dim",IF(SUM($AD10:AJ10)&gt;35,(MIN(SUM($AD10:AJ10),43)-35-SUM($AD12:AI12)),0),0)</f>
        <v>0</v>
      </c>
      <c r="AK12" s="60">
        <f t="shared" si="14"/>
        <v>5</v>
      </c>
      <c r="AL12" s="60"/>
      <c r="AM12" s="66">
        <f>IF(AM5&lt;&gt;"Dim",IF(AM10&gt;35,(MIN(AM10,43)-35),0),0)</f>
        <v>0</v>
      </c>
      <c r="AN12" s="66">
        <f>IF(AN5&lt;&gt;"Dim",IF(SUM($AM10:AN10)&gt;35,(MIN(SUM($AM10:AN10),43)-35-SUM($AM12:AM12)),0),0)</f>
        <v>0</v>
      </c>
      <c r="AO12" s="66">
        <f>IF(AO5&lt;&gt;"Dim",IF(SUM($AM10:AO10)&gt;35,(MIN(SUM($AM10:AO10),43)-35-SUM($AM12:AN12)),0),0)</f>
        <v>0</v>
      </c>
      <c r="AP12" s="66">
        <f>IF(AP5&lt;&gt;"Dim",IF(SUM($AM10:AP10)&gt;35,(MIN(SUM($AM10:AP10),43)-35-SUM($AM12:AO12)),0),0)</f>
        <v>0</v>
      </c>
      <c r="AQ12" s="66">
        <f>IF(AQ5&lt;&gt;"Dim",IF(SUM($AM10:AQ10)&gt;35,(MIN(SUM($AM10:AQ10),43)-35-SUM($AM12:AP12)),0),0)</f>
        <v>0</v>
      </c>
      <c r="AR12" s="66">
        <f>IF(AR5&lt;&gt;"Dim",IF(SUM($AM10:AR10)&gt;35,(MIN(SUM($AM10:AR10),43)-35-SUM($AM12:AQ12)),0),0)</f>
        <v>0</v>
      </c>
      <c r="AS12" s="66">
        <f>IF(AS5&lt;&gt;"Dim",IF(SUM($AM10:AS10)&gt;35,(MIN(SUM($AM10:AS10),43)-35-SUM($AM12:AR12)),0),0)</f>
        <v>0</v>
      </c>
      <c r="AT12" s="60">
        <f t="shared" si="16"/>
        <v>0</v>
      </c>
      <c r="AU12" s="60"/>
      <c r="AV12" s="66">
        <f>IF(AV5&lt;&gt;"Dim",IF(AV10&gt;35,(MIN(AV10,43)-35),0),0)</f>
        <v>0</v>
      </c>
      <c r="AW12" s="66">
        <f>IF(AW5&lt;&gt;"Dim",IF(SUM($AV10:AW10)&gt;35,(MIN(SUM($AV10:AW10),43)-35-SUM($AV12:AV12)),0),0)</f>
        <v>0</v>
      </c>
      <c r="AX12" s="60">
        <f t="shared" si="6"/>
        <v>0</v>
      </c>
      <c r="AY12" s="60">
        <f t="shared" si="18"/>
        <v>15</v>
      </c>
      <c r="AZ12" s="52"/>
      <c r="BA12" s="52"/>
      <c r="BB12" s="52"/>
      <c r="BC12" s="52"/>
      <c r="BD12" s="52"/>
      <c r="BE12" s="52"/>
      <c r="BF12" s="35"/>
    </row>
    <row r="13" spans="1:59" s="33" customFormat="1" ht="15" customHeight="1" x14ac:dyDescent="0.25">
      <c r="A13" s="21" t="s">
        <v>5</v>
      </c>
      <c r="B13" s="81"/>
      <c r="C13" s="66">
        <f>IF(C5&lt;&gt;"Dim",IF(C10&gt;43,(MIN(C10,48)-43),0),0)</f>
        <v>0</v>
      </c>
      <c r="D13" s="66">
        <f>IF(D5&lt;&gt;"Dim",IF(SUM($C10:D10)&gt;43,(MIN(SUM($C10:D10),48)-43-SUM($C13:C13)),0),0)</f>
        <v>0</v>
      </c>
      <c r="E13" s="66">
        <f>IF(E5&lt;&gt;"Dim",IF(SUM($C10:E10)&gt;43,(MIN(SUM($C10:E10),48)-43-SUM($C13:D13)),0),0)</f>
        <v>0</v>
      </c>
      <c r="F13" s="66">
        <f>IF(F5&lt;&gt;"Dim",IF(SUM($C10:F10)&gt;43,(MIN(SUM($C10:F10),48)-43-SUM($C13:E13)),0),0)</f>
        <v>0</v>
      </c>
      <c r="G13" s="66">
        <f>IF(G5&lt;&gt;"Dim",IF(SUM($C10:G10)&gt;43,(MIN(SUM($C10:G10),48)-43-SUM($C13:F13)),0),0)</f>
        <v>0</v>
      </c>
      <c r="H13" s="66">
        <f>IF(H5&lt;&gt;"Dim",IF(SUM($C10:H10)&gt;43,(MIN(SUM($C10:H10),48)-43-SUM($C13:G13)),0),0)</f>
        <v>0</v>
      </c>
      <c r="I13" s="66">
        <f>IF(I5&lt;&gt;"Dim",IF(SUM($C10:I10)&gt;43,(MIN(SUM($C10:I10),48)-43-SUM($C13:H13)),0),0)</f>
        <v>0</v>
      </c>
      <c r="J13" s="60">
        <f t="shared" si="8"/>
        <v>0</v>
      </c>
      <c r="K13" s="60"/>
      <c r="L13" s="66">
        <f>IF(L5&lt;&gt;"Dim",IF(L10&gt;43,(MIN(L10,48)-43),0),0)</f>
        <v>0</v>
      </c>
      <c r="M13" s="66">
        <f>IF(M5&lt;&gt;"Dim",IF(SUM($L10:M10)&gt;43,(MIN(SUM($L10:M10),48)-43-SUM($L13:L13)),0),0)</f>
        <v>0</v>
      </c>
      <c r="N13" s="66">
        <f>IF(N5&lt;&gt;"Dim",IF(SUM($L10:N10)&gt;43,(MIN(SUM($L10:N10),48)-43-SUM($L13:M13)),0),0)</f>
        <v>0</v>
      </c>
      <c r="O13" s="66">
        <f>IF(O5&lt;&gt;"Dim",IF(SUM($L10:O10)&gt;43,(MIN(SUM($L10:O10),48)-43-SUM($L13:N13)),0),0)</f>
        <v>0</v>
      </c>
      <c r="P13" s="66">
        <f>IF(P5&lt;&gt;"Dim",IF(SUM($L10:P10)&gt;43,(MIN(SUM($L10:P10),48)-43-SUM($L13:O13)),0),0)</f>
        <v>0</v>
      </c>
      <c r="Q13" s="66">
        <f>IF(Q5&lt;&gt;"Dim",IF(SUM($L10:Q10)&gt;43,(MIN(SUM($L10:Q10),48)-43-SUM($L13:P13)),0),0)</f>
        <v>0</v>
      </c>
      <c r="R13" s="66">
        <f>IF(R5&lt;&gt;"Dim",IF(SUM($L10:R10)&gt;43,(MIN(SUM($L10:R10),48)-43-SUM($L13:Q13)),0),0)</f>
        <v>0</v>
      </c>
      <c r="S13" s="60">
        <f t="shared" si="10"/>
        <v>0</v>
      </c>
      <c r="T13" s="60"/>
      <c r="U13" s="66">
        <f>IF(U5&lt;&gt;"Dim",IF(U10&gt;43,(MIN(U10,48)-43),0),0)</f>
        <v>0</v>
      </c>
      <c r="V13" s="66">
        <f>IF(V5&lt;&gt;"Dim",IF(SUM($U10:V10)&gt;43,(MIN(SUM($U10:V10),48)-43-SUM($U13:U13)),0),0)</f>
        <v>0</v>
      </c>
      <c r="W13" s="66">
        <f>IF(W5&lt;&gt;"Dim",IF(SUM($U10:W10)&gt;43,(MIN(SUM($U10:W10),48)-43-SUM($U13:V13)),0),0)</f>
        <v>0</v>
      </c>
      <c r="X13" s="66">
        <f>IF(X5&lt;&gt;"Dim",IF(SUM($U10:X10)&gt;43,(MIN(SUM($U10:X10),48)-43-SUM($U13:W13)),0),0)</f>
        <v>0</v>
      </c>
      <c r="Y13" s="66">
        <f>IF(Y5&lt;&gt;"Dim",IF(SUM($U10:Y10)&gt;43,(MIN(SUM($U10:Y10),48)-43-SUM($U13:X13)),0),0)</f>
        <v>0</v>
      </c>
      <c r="Z13" s="66">
        <f>IF(Z5&lt;&gt;"Dim",IF(SUM($U10:Z10)&gt;43,(MIN(SUM($U10:Z10),48)-43-SUM($U13:Y13)),0),0)</f>
        <v>0</v>
      </c>
      <c r="AA13" s="66">
        <f>IF(AA5&lt;&gt;"Dim",IF(SUM($U10:AA10)&gt;43,(MIN(SUM($U10:AA10),48)-43-SUM($U13:Z13)),0),0)</f>
        <v>0</v>
      </c>
      <c r="AB13" s="60">
        <f t="shared" si="12"/>
        <v>0</v>
      </c>
      <c r="AC13" s="60"/>
      <c r="AD13" s="66">
        <f>IF(AD5&lt;&gt;"Dim",IF(AD10&gt;43,(MIN(AD10,48)-43),0),0)</f>
        <v>0</v>
      </c>
      <c r="AE13" s="66">
        <f>IF(AE5&lt;&gt;"Dim",IF(SUM($AD10:AE10)&gt;43,(MIN(SUM($AD10:AE10),48)-43-SUM($AD13:AD13)),0),0)</f>
        <v>0</v>
      </c>
      <c r="AF13" s="66">
        <f>IF(AF5&lt;&gt;"Dim",IF(SUM($AD10:AF10)&gt;43,(MIN(SUM($AD10:AF10),48)-43-SUM($AD13:AE13)),0),0)</f>
        <v>0</v>
      </c>
      <c r="AG13" s="66">
        <f>IF(AG5&lt;&gt;"Dim",IF(SUM($AD10:AG10)&gt;43,(MIN(SUM($AD10:AG10),48)-43-SUM($AD13:AF13)),0),0)</f>
        <v>0</v>
      </c>
      <c r="AH13" s="66">
        <f>IF(AH5&lt;&gt;"Dim",IF(SUM($AD10:AH10)&gt;43,(MIN(SUM($AD10:AH10),48)-43-SUM($AD13:AG13)),0),0)</f>
        <v>0</v>
      </c>
      <c r="AI13" s="66">
        <f>IF(AI5&lt;&gt;"Dim",IF(SUM($AD10:AI10)&gt;43,(MIN(SUM($AD10:AI10),48)-43-SUM($AD13:AH13)),0),0)</f>
        <v>0</v>
      </c>
      <c r="AJ13" s="66">
        <f>IF(AJ5&lt;&gt;"Dim",IF(SUM($AD10:AJ10)&gt;43,(MIN(SUM($AD10:AJ10),48)-43-SUM($AD13:AI13)),0),0)</f>
        <v>0</v>
      </c>
      <c r="AK13" s="60">
        <f t="shared" si="14"/>
        <v>0</v>
      </c>
      <c r="AL13" s="60"/>
      <c r="AM13" s="66">
        <f>IF(AM5&lt;&gt;"Dim",IF(AM10&gt;43,(MIN(AM10,48)-43),0),0)</f>
        <v>0</v>
      </c>
      <c r="AN13" s="66">
        <f>IF(AN5&lt;&gt;"Dim",IF(SUM($AM10:AN10)&gt;43,(MIN(SUM($AM10:AN10),48)-43-SUM($AM13:AM13)),0),0)</f>
        <v>0</v>
      </c>
      <c r="AO13" s="66">
        <f>IF(AO5&lt;&gt;"Dim",IF(SUM($AM10:AO10)&gt;43,(MIN(SUM($AM10:AO10),48)-43-SUM($AM13:AN13)),0),0)</f>
        <v>0</v>
      </c>
      <c r="AP13" s="66">
        <f>IF(AP5&lt;&gt;"Dim",IF(SUM($AM10:AP10)&gt;43,(MIN(SUM($AM10:AP10),48)-43-SUM($AM13:AO13)),0),0)</f>
        <v>0</v>
      </c>
      <c r="AQ13" s="66">
        <f>IF(AQ5&lt;&gt;"Dim",IF(SUM($AM10:AQ10)&gt;43,(MIN(SUM($AM10:AQ10),48)-43-SUM($AM13:AP13)),0),0)</f>
        <v>0</v>
      </c>
      <c r="AR13" s="66">
        <f>IF(AR5&lt;&gt;"Dim",IF(SUM($AM10:AR10)&gt;43,(MIN(SUM($AM10:AR10),48)-43-SUM($AM13:AQ13)),0),0)</f>
        <v>0</v>
      </c>
      <c r="AS13" s="66">
        <f>IF(AS5&lt;&gt;"Dim",IF(SUM($AM10:AS10)&gt;43,(MIN(SUM($AM10:AS10),48)-43-SUM($AM13:AR13)),0),0)</f>
        <v>0</v>
      </c>
      <c r="AT13" s="60">
        <f t="shared" si="16"/>
        <v>0</v>
      </c>
      <c r="AU13" s="60"/>
      <c r="AV13" s="66">
        <f>IF(AV5&lt;&gt;"Dim",IF(AV10&gt;43,(MIN(AV10,48)-43),0),0)</f>
        <v>0</v>
      </c>
      <c r="AW13" s="66">
        <f>IF(AW5&lt;&gt;"Dim",IF(SUM($AV10:AW10)&gt;43,(MIN(SUM($AV10:AW10),48)-43-SUM($AV13:AV13)),0),0)</f>
        <v>0</v>
      </c>
      <c r="AX13" s="60">
        <f t="shared" si="6"/>
        <v>0</v>
      </c>
      <c r="AY13" s="60">
        <f t="shared" si="18"/>
        <v>0</v>
      </c>
      <c r="AZ13" s="52"/>
      <c r="BA13" s="52"/>
      <c r="BB13" s="52"/>
      <c r="BC13" s="52"/>
      <c r="BD13" s="52"/>
      <c r="BE13" s="52"/>
      <c r="BF13" s="35"/>
    </row>
    <row r="14" spans="1:59" s="33" customFormat="1" ht="15" customHeight="1" x14ac:dyDescent="0.25">
      <c r="A14" s="21" t="s">
        <v>7</v>
      </c>
      <c r="B14" s="81"/>
      <c r="C14" s="66">
        <f>IF(C5="Dim",C10,IF(C20="ferie",C10,0))</f>
        <v>0</v>
      </c>
      <c r="D14" s="66">
        <f t="shared" ref="D14:I14" si="19">IF(D5="Dim",D10,IF(D20="ferie",D10,0))</f>
        <v>0</v>
      </c>
      <c r="E14" s="66">
        <f t="shared" si="19"/>
        <v>0</v>
      </c>
      <c r="F14" s="66">
        <f t="shared" si="19"/>
        <v>0</v>
      </c>
      <c r="G14" s="66">
        <f t="shared" si="19"/>
        <v>0</v>
      </c>
      <c r="H14" s="66">
        <f t="shared" si="19"/>
        <v>0</v>
      </c>
      <c r="I14" s="66">
        <f t="shared" si="19"/>
        <v>0</v>
      </c>
      <c r="J14" s="60">
        <f t="shared" si="8"/>
        <v>0</v>
      </c>
      <c r="K14" s="60"/>
      <c r="L14" s="66">
        <f>IF(L5="Dim",L10,IF(L20="ferie",L10,0))</f>
        <v>0</v>
      </c>
      <c r="M14" s="66">
        <f t="shared" ref="M14:R14" si="20">IF(M5="Dim",M10,IF(M20="ferie",M10,0))</f>
        <v>0</v>
      </c>
      <c r="N14" s="66">
        <f t="shared" si="20"/>
        <v>0</v>
      </c>
      <c r="O14" s="66">
        <f t="shared" si="20"/>
        <v>0</v>
      </c>
      <c r="P14" s="66">
        <f t="shared" si="20"/>
        <v>0</v>
      </c>
      <c r="Q14" s="66">
        <f t="shared" si="20"/>
        <v>0</v>
      </c>
      <c r="R14" s="66">
        <f t="shared" si="20"/>
        <v>0</v>
      </c>
      <c r="S14" s="60">
        <f t="shared" si="10"/>
        <v>0</v>
      </c>
      <c r="T14" s="60"/>
      <c r="U14" s="66">
        <f>IF(U5="Dim",U10,IF(U20="ferie",U10,0))</f>
        <v>0</v>
      </c>
      <c r="V14" s="66">
        <f t="shared" ref="V14:AA14" si="21">IF(V5="Dim",V10,IF(V20="ferie",V10,0))</f>
        <v>0</v>
      </c>
      <c r="W14" s="66">
        <f t="shared" si="21"/>
        <v>0</v>
      </c>
      <c r="X14" s="66">
        <f t="shared" si="21"/>
        <v>0</v>
      </c>
      <c r="Y14" s="66">
        <f t="shared" si="21"/>
        <v>0</v>
      </c>
      <c r="Z14" s="66">
        <f t="shared" si="21"/>
        <v>0</v>
      </c>
      <c r="AA14" s="66">
        <f t="shared" si="21"/>
        <v>0</v>
      </c>
      <c r="AB14" s="60">
        <f t="shared" si="12"/>
        <v>0</v>
      </c>
      <c r="AC14" s="60"/>
      <c r="AD14" s="66">
        <f>IF(AD5="Dim",AD10,IF(AD20="ferie",AD10,0))</f>
        <v>0</v>
      </c>
      <c r="AE14" s="66">
        <f t="shared" ref="AE14:AJ14" si="22">IF(AE5="Dim",AE10,IF(AE20="ferie",AE10,0))</f>
        <v>0</v>
      </c>
      <c r="AF14" s="66">
        <f t="shared" si="22"/>
        <v>0</v>
      </c>
      <c r="AG14" s="66">
        <f t="shared" si="22"/>
        <v>0</v>
      </c>
      <c r="AH14" s="66">
        <f t="shared" si="22"/>
        <v>0</v>
      </c>
      <c r="AI14" s="66">
        <f t="shared" si="22"/>
        <v>0</v>
      </c>
      <c r="AJ14" s="66">
        <f t="shared" si="22"/>
        <v>0</v>
      </c>
      <c r="AK14" s="60">
        <f t="shared" si="14"/>
        <v>0</v>
      </c>
      <c r="AL14" s="60"/>
      <c r="AM14" s="66">
        <f>IF(AM5="Dim",AM10,IF(AM20="ferie",AM10,0))</f>
        <v>0</v>
      </c>
      <c r="AN14" s="66">
        <f t="shared" ref="AN14:AW14" si="23">IF(AN5="Dim",AN10,IF(AN20="ferie",AN10,0))</f>
        <v>0</v>
      </c>
      <c r="AO14" s="66">
        <f t="shared" si="23"/>
        <v>0</v>
      </c>
      <c r="AP14" s="66">
        <f t="shared" si="23"/>
        <v>0</v>
      </c>
      <c r="AQ14" s="66">
        <f t="shared" si="23"/>
        <v>0</v>
      </c>
      <c r="AR14" s="66">
        <f t="shared" si="23"/>
        <v>0</v>
      </c>
      <c r="AS14" s="66">
        <f t="shared" si="23"/>
        <v>0</v>
      </c>
      <c r="AT14" s="60">
        <f t="shared" si="16"/>
        <v>0</v>
      </c>
      <c r="AU14" s="60"/>
      <c r="AV14" s="66">
        <f>IF(AV5="Dim",AV10,IF(AV20="ferie",AV10,0))</f>
        <v>0</v>
      </c>
      <c r="AW14" s="66">
        <f t="shared" si="23"/>
        <v>0</v>
      </c>
      <c r="AX14" s="60">
        <f t="shared" si="6"/>
        <v>0</v>
      </c>
      <c r="AY14" s="60">
        <f t="shared" si="18"/>
        <v>0</v>
      </c>
      <c r="AZ14" s="52"/>
      <c r="BA14" s="52"/>
      <c r="BB14" s="52"/>
      <c r="BC14" s="52"/>
      <c r="BD14" s="52"/>
      <c r="BE14" s="52"/>
      <c r="BF14" s="35"/>
    </row>
    <row r="15" spans="1:59" s="33" customFormat="1" ht="15" customHeight="1" x14ac:dyDescent="0.25">
      <c r="A15" s="21" t="s">
        <v>8</v>
      </c>
      <c r="B15" s="81"/>
      <c r="C15" s="31"/>
      <c r="D15" s="31"/>
      <c r="E15" s="31"/>
      <c r="F15" s="31"/>
      <c r="G15" s="31"/>
      <c r="H15" s="31"/>
      <c r="I15" s="31"/>
      <c r="J15" s="60">
        <f t="shared" si="8"/>
        <v>0</v>
      </c>
      <c r="K15" s="60"/>
      <c r="L15" s="31"/>
      <c r="M15" s="31"/>
      <c r="N15" s="31"/>
      <c r="O15" s="31"/>
      <c r="P15" s="31"/>
      <c r="Q15" s="31"/>
      <c r="R15" s="31"/>
      <c r="S15" s="60">
        <f t="shared" si="10"/>
        <v>0</v>
      </c>
      <c r="T15" s="60"/>
      <c r="U15" s="31"/>
      <c r="V15" s="31"/>
      <c r="W15" s="31"/>
      <c r="X15" s="31"/>
      <c r="Y15" s="31"/>
      <c r="Z15" s="31"/>
      <c r="AA15" s="31"/>
      <c r="AB15" s="60">
        <f t="shared" si="12"/>
        <v>0</v>
      </c>
      <c r="AC15" s="60"/>
      <c r="AD15" s="31"/>
      <c r="AE15" s="31"/>
      <c r="AF15" s="31"/>
      <c r="AG15" s="31"/>
      <c r="AH15" s="31"/>
      <c r="AI15" s="31"/>
      <c r="AJ15" s="31"/>
      <c r="AK15" s="60">
        <f t="shared" si="14"/>
        <v>0</v>
      </c>
      <c r="AL15" s="60"/>
      <c r="AM15" s="31"/>
      <c r="AN15" s="31"/>
      <c r="AO15" s="31"/>
      <c r="AP15" s="31"/>
      <c r="AQ15" s="31"/>
      <c r="AR15" s="31"/>
      <c r="AS15" s="31"/>
      <c r="AT15" s="60">
        <f t="shared" si="16"/>
        <v>0</v>
      </c>
      <c r="AU15" s="60"/>
      <c r="AV15" s="31"/>
      <c r="AW15" s="31"/>
      <c r="AX15" s="60">
        <f t="shared" si="6"/>
        <v>0</v>
      </c>
      <c r="AY15" s="60">
        <f t="shared" si="18"/>
        <v>0</v>
      </c>
      <c r="AZ15" s="52"/>
      <c r="BA15" s="52"/>
      <c r="BB15" s="52"/>
      <c r="BC15" s="52"/>
      <c r="BD15" s="52"/>
      <c r="BE15" s="52"/>
      <c r="BF15" s="35"/>
    </row>
    <row r="16" spans="1:59" s="33" customFormat="1" ht="15" customHeight="1" x14ac:dyDescent="0.25">
      <c r="A16" s="36" t="s">
        <v>9</v>
      </c>
      <c r="B16" s="82"/>
      <c r="C16" s="31"/>
      <c r="D16" s="31"/>
      <c r="E16" s="31"/>
      <c r="F16" s="31"/>
      <c r="G16" s="31"/>
      <c r="H16" s="31"/>
      <c r="I16" s="31"/>
      <c r="J16" s="60">
        <f t="shared" si="8"/>
        <v>0</v>
      </c>
      <c r="K16" s="60"/>
      <c r="L16" s="31"/>
      <c r="M16" s="31"/>
      <c r="N16" s="31"/>
      <c r="O16" s="31"/>
      <c r="P16" s="31"/>
      <c r="Q16" s="31"/>
      <c r="R16" s="31"/>
      <c r="S16" s="60">
        <f t="shared" si="10"/>
        <v>0</v>
      </c>
      <c r="T16" s="60"/>
      <c r="U16" s="31"/>
      <c r="V16" s="31"/>
      <c r="W16" s="31"/>
      <c r="X16" s="31"/>
      <c r="Y16" s="31"/>
      <c r="Z16" s="31"/>
      <c r="AA16" s="31"/>
      <c r="AB16" s="60">
        <f t="shared" si="12"/>
        <v>0</v>
      </c>
      <c r="AC16" s="60"/>
      <c r="AD16" s="31"/>
      <c r="AE16" s="31"/>
      <c r="AF16" s="31"/>
      <c r="AG16" s="31"/>
      <c r="AH16" s="31"/>
      <c r="AI16" s="31"/>
      <c r="AJ16" s="31"/>
      <c r="AK16" s="60">
        <f t="shared" si="14"/>
        <v>0</v>
      </c>
      <c r="AL16" s="60"/>
      <c r="AM16" s="31"/>
      <c r="AN16" s="31"/>
      <c r="AO16" s="31"/>
      <c r="AP16" s="31"/>
      <c r="AQ16" s="31"/>
      <c r="AR16" s="31"/>
      <c r="AS16" s="31"/>
      <c r="AT16" s="60">
        <f t="shared" si="16"/>
        <v>0</v>
      </c>
      <c r="AU16" s="60"/>
      <c r="AV16" s="31"/>
      <c r="AW16" s="31"/>
      <c r="AX16" s="60">
        <f t="shared" ref="AX16:AX18" si="24">SUM(AV16:AW16)</f>
        <v>0</v>
      </c>
      <c r="AY16" s="60">
        <f t="shared" si="18"/>
        <v>0</v>
      </c>
      <c r="AZ16" s="52"/>
      <c r="BA16" s="52"/>
      <c r="BB16" s="52"/>
      <c r="BC16" s="52"/>
      <c r="BD16" s="52"/>
      <c r="BE16" s="52"/>
      <c r="BF16" s="35"/>
    </row>
    <row r="17" spans="1:59" s="33" customFormat="1" ht="15" customHeight="1" x14ac:dyDescent="0.25">
      <c r="A17" s="21" t="s">
        <v>11</v>
      </c>
      <c r="B17" s="81"/>
      <c r="C17" s="31"/>
      <c r="D17" s="31"/>
      <c r="E17" s="31"/>
      <c r="F17" s="31"/>
      <c r="G17" s="31"/>
      <c r="H17" s="31"/>
      <c r="I17" s="31"/>
      <c r="J17" s="60">
        <f t="shared" si="8"/>
        <v>0</v>
      </c>
      <c r="K17" s="60"/>
      <c r="L17" s="31"/>
      <c r="M17" s="31"/>
      <c r="N17" s="31"/>
      <c r="O17" s="31"/>
      <c r="P17" s="31"/>
      <c r="Q17" s="31"/>
      <c r="R17" s="31"/>
      <c r="S17" s="60">
        <f t="shared" si="10"/>
        <v>0</v>
      </c>
      <c r="T17" s="60"/>
      <c r="U17" s="31"/>
      <c r="V17" s="31"/>
      <c r="W17" s="31"/>
      <c r="X17" s="31"/>
      <c r="Y17" s="31"/>
      <c r="Z17" s="31"/>
      <c r="AA17" s="31"/>
      <c r="AB17" s="60">
        <f t="shared" si="12"/>
        <v>0</v>
      </c>
      <c r="AC17" s="60"/>
      <c r="AD17" s="31"/>
      <c r="AE17" s="31"/>
      <c r="AF17" s="31"/>
      <c r="AG17" s="31"/>
      <c r="AH17" s="31"/>
      <c r="AI17" s="31"/>
      <c r="AJ17" s="31"/>
      <c r="AK17" s="60">
        <f t="shared" si="14"/>
        <v>0</v>
      </c>
      <c r="AL17" s="60"/>
      <c r="AM17" s="31"/>
      <c r="AN17" s="31"/>
      <c r="AO17" s="31"/>
      <c r="AP17" s="31"/>
      <c r="AQ17" s="31"/>
      <c r="AR17" s="31"/>
      <c r="AS17" s="31"/>
      <c r="AT17" s="60">
        <f t="shared" si="16"/>
        <v>0</v>
      </c>
      <c r="AU17" s="60"/>
      <c r="AV17" s="31"/>
      <c r="AW17" s="31"/>
      <c r="AX17" s="60">
        <f t="shared" si="24"/>
        <v>0</v>
      </c>
      <c r="AY17" s="60">
        <f t="shared" si="18"/>
        <v>0</v>
      </c>
      <c r="AZ17" s="52"/>
      <c r="BA17" s="52"/>
      <c r="BB17" s="52"/>
      <c r="BC17" s="52"/>
      <c r="BD17" s="52"/>
      <c r="BE17" s="52"/>
      <c r="BF17" s="35"/>
    </row>
    <row r="18" spans="1:59" s="33" customFormat="1" ht="15" customHeight="1" x14ac:dyDescent="0.25">
      <c r="A18" s="36" t="s">
        <v>10</v>
      </c>
      <c r="B18" s="82"/>
      <c r="C18" s="31"/>
      <c r="D18" s="31"/>
      <c r="E18" s="31"/>
      <c r="F18" s="31"/>
      <c r="G18" s="31"/>
      <c r="H18" s="31"/>
      <c r="I18" s="31"/>
      <c r="J18" s="60">
        <f t="shared" si="8"/>
        <v>0</v>
      </c>
      <c r="K18" s="60"/>
      <c r="L18" s="31"/>
      <c r="M18" s="31"/>
      <c r="N18" s="31"/>
      <c r="O18" s="31"/>
      <c r="P18" s="31"/>
      <c r="Q18" s="31"/>
      <c r="R18" s="31"/>
      <c r="S18" s="60">
        <f t="shared" si="10"/>
        <v>0</v>
      </c>
      <c r="T18" s="60"/>
      <c r="U18" s="31"/>
      <c r="V18" s="31"/>
      <c r="W18" s="31"/>
      <c r="X18" s="31"/>
      <c r="Y18" s="31"/>
      <c r="Z18" s="31"/>
      <c r="AA18" s="31"/>
      <c r="AB18" s="60">
        <f t="shared" si="12"/>
        <v>0</v>
      </c>
      <c r="AC18" s="60"/>
      <c r="AD18" s="31"/>
      <c r="AE18" s="31"/>
      <c r="AF18" s="31"/>
      <c r="AG18" s="31"/>
      <c r="AH18" s="31"/>
      <c r="AI18" s="31"/>
      <c r="AJ18" s="31"/>
      <c r="AK18" s="60">
        <f t="shared" si="14"/>
        <v>0</v>
      </c>
      <c r="AL18" s="60"/>
      <c r="AM18" s="31"/>
      <c r="AN18" s="31"/>
      <c r="AO18" s="31"/>
      <c r="AP18" s="31"/>
      <c r="AQ18" s="31"/>
      <c r="AR18" s="31"/>
      <c r="AS18" s="31"/>
      <c r="AT18" s="60">
        <f t="shared" si="16"/>
        <v>0</v>
      </c>
      <c r="AU18" s="60"/>
      <c r="AV18" s="31"/>
      <c r="AW18" s="31"/>
      <c r="AX18" s="60">
        <f t="shared" si="24"/>
        <v>0</v>
      </c>
      <c r="AY18" s="60">
        <f t="shared" si="18"/>
        <v>0</v>
      </c>
      <c r="AZ18" s="52"/>
      <c r="BA18" s="52"/>
      <c r="BB18" s="52"/>
      <c r="BC18" s="52"/>
      <c r="BD18" s="52"/>
      <c r="BE18" s="52"/>
      <c r="BF18" s="35"/>
    </row>
    <row r="19" spans="1:59" s="33" customFormat="1" ht="15" customHeight="1" x14ac:dyDescent="0.25">
      <c r="A19" s="36" t="s">
        <v>44</v>
      </c>
      <c r="B19" s="82"/>
      <c r="C19" s="60">
        <f>IF(C7="nuit",C10*0.02,0)</f>
        <v>0</v>
      </c>
      <c r="D19" s="60">
        <f>IF(D7="nuit",D10*0.02,0)</f>
        <v>0</v>
      </c>
      <c r="E19" s="60">
        <f t="shared" ref="E19:I19" si="25">IF(E7="nuit",E10*0.02,0)</f>
        <v>0</v>
      </c>
      <c r="F19" s="60">
        <f t="shared" si="25"/>
        <v>0</v>
      </c>
      <c r="G19" s="60">
        <f>IF(G7="nuit",G10*0.02,0)</f>
        <v>0</v>
      </c>
      <c r="H19" s="60">
        <f t="shared" si="25"/>
        <v>0</v>
      </c>
      <c r="I19" s="60">
        <f t="shared" si="25"/>
        <v>0</v>
      </c>
      <c r="J19" s="60">
        <f t="shared" si="8"/>
        <v>0</v>
      </c>
      <c r="K19" s="60"/>
      <c r="L19" s="60">
        <f>IF(L7="nuit",L10*0.02,0)</f>
        <v>0.16</v>
      </c>
      <c r="M19" s="60">
        <f>IF(M7="nuit",M10*0.02,0)</f>
        <v>0.16</v>
      </c>
      <c r="N19" s="60">
        <f t="shared" ref="N19:R19" si="26">IF(N7="nuit",N10*0.02,0)</f>
        <v>0.16</v>
      </c>
      <c r="O19" s="60">
        <f t="shared" si="26"/>
        <v>0.16</v>
      </c>
      <c r="P19" s="60">
        <f>IF(P7="nuit",P10*0.02,0)</f>
        <v>0.16</v>
      </c>
      <c r="Q19" s="60">
        <f t="shared" si="26"/>
        <v>0</v>
      </c>
      <c r="R19" s="60">
        <f t="shared" si="26"/>
        <v>0</v>
      </c>
      <c r="S19" s="60">
        <f t="shared" si="10"/>
        <v>0.8</v>
      </c>
      <c r="T19" s="60"/>
      <c r="U19" s="60">
        <f>IF(U7="nuit",U10*0.02,0)</f>
        <v>0</v>
      </c>
      <c r="V19" s="60">
        <f>IF(V7="nuit",V10*0.02,0)</f>
        <v>0</v>
      </c>
      <c r="W19" s="60">
        <f t="shared" ref="W19:AA19" si="27">IF(W7="nuit",W10*0.02,0)</f>
        <v>0</v>
      </c>
      <c r="X19" s="60">
        <f t="shared" si="27"/>
        <v>0</v>
      </c>
      <c r="Y19" s="60">
        <f>IF(Y7="nuit",Y10*0.02,0)</f>
        <v>0</v>
      </c>
      <c r="Z19" s="60">
        <f t="shared" si="27"/>
        <v>0</v>
      </c>
      <c r="AA19" s="60">
        <f t="shared" si="27"/>
        <v>0</v>
      </c>
      <c r="AB19" s="60">
        <f t="shared" si="12"/>
        <v>0</v>
      </c>
      <c r="AC19" s="60"/>
      <c r="AD19" s="60">
        <f>IF(AD7="nuit",AD10*0.02,0)</f>
        <v>0</v>
      </c>
      <c r="AE19" s="60">
        <f>IF(AE7="nuit",AE10*0.02,0)</f>
        <v>0</v>
      </c>
      <c r="AF19" s="60">
        <f t="shared" ref="AF19:AJ19" si="28">IF(AF7="nuit",AF10*0.02,0)</f>
        <v>0</v>
      </c>
      <c r="AG19" s="60">
        <f t="shared" si="28"/>
        <v>0</v>
      </c>
      <c r="AH19" s="60">
        <f>IF(AH7="nuit",AH10*0.02,0)</f>
        <v>0</v>
      </c>
      <c r="AI19" s="60">
        <f t="shared" si="28"/>
        <v>0</v>
      </c>
      <c r="AJ19" s="60">
        <f t="shared" si="28"/>
        <v>0</v>
      </c>
      <c r="AK19" s="60">
        <f t="shared" si="14"/>
        <v>0</v>
      </c>
      <c r="AL19" s="60"/>
      <c r="AM19" s="60">
        <f>IF(AM7="nuit",AM10*0.02,0)</f>
        <v>0</v>
      </c>
      <c r="AN19" s="60">
        <f>IF(AN7="nuit",AN10*0.02,0)</f>
        <v>0</v>
      </c>
      <c r="AO19" s="60">
        <f t="shared" ref="AO19:AS19" si="29">IF(AO7="nuit",AO10*0.02,0)</f>
        <v>0</v>
      </c>
      <c r="AP19" s="60">
        <f t="shared" si="29"/>
        <v>0</v>
      </c>
      <c r="AQ19" s="60">
        <f>IF(AQ7="nuit",AQ10*0.02,0)</f>
        <v>0</v>
      </c>
      <c r="AR19" s="60">
        <f t="shared" si="29"/>
        <v>0</v>
      </c>
      <c r="AS19" s="60">
        <f t="shared" si="29"/>
        <v>0</v>
      </c>
      <c r="AT19" s="60">
        <f t="shared" si="16"/>
        <v>0</v>
      </c>
      <c r="AU19" s="60"/>
      <c r="AV19" s="60">
        <f>IF(AV7="nuit",AV10*0.02,0)</f>
        <v>0</v>
      </c>
      <c r="AW19" s="60">
        <f>IF(AW7="nuit",AW10*0.02,0)</f>
        <v>0</v>
      </c>
      <c r="AX19" s="60">
        <f>SUM(AV19:AW19)</f>
        <v>0</v>
      </c>
      <c r="AY19" s="60">
        <f>J19+S19+AB19+AK19+AT19+AX19</f>
        <v>0.8</v>
      </c>
      <c r="AZ19" s="52"/>
      <c r="BA19" s="52"/>
      <c r="BB19" s="52"/>
      <c r="BC19" s="52"/>
      <c r="BD19" s="52"/>
      <c r="BE19" s="52"/>
      <c r="BF19" s="35"/>
    </row>
    <row r="20" spans="1:59" s="4" customFormat="1" ht="15" customHeight="1" x14ac:dyDescent="0.25">
      <c r="A20" s="21" t="s">
        <v>31</v>
      </c>
      <c r="B20" s="81"/>
      <c r="C20" s="31"/>
      <c r="D20" s="31"/>
      <c r="E20" s="31"/>
      <c r="F20" s="31"/>
      <c r="G20" s="31"/>
      <c r="H20" s="37"/>
      <c r="I20" s="37"/>
      <c r="J20" s="64"/>
      <c r="K20" s="64"/>
      <c r="L20" s="37"/>
      <c r="M20" s="37"/>
      <c r="N20" s="37"/>
      <c r="O20" s="37"/>
      <c r="P20" s="37"/>
      <c r="Q20" s="37"/>
      <c r="R20" s="37"/>
      <c r="S20" s="64"/>
      <c r="T20" s="64"/>
      <c r="U20" s="37"/>
      <c r="V20" s="37"/>
      <c r="W20" s="37"/>
      <c r="X20" s="37"/>
      <c r="Y20" s="37"/>
      <c r="Z20" s="37"/>
      <c r="AA20" s="37"/>
      <c r="AB20" s="64"/>
      <c r="AC20" s="64"/>
      <c r="AD20" s="37"/>
      <c r="AE20" s="37"/>
      <c r="AF20" s="37"/>
      <c r="AG20" s="37"/>
      <c r="AH20" s="37"/>
      <c r="AI20" s="37"/>
      <c r="AJ20" s="37"/>
      <c r="AK20" s="64"/>
      <c r="AL20" s="64"/>
      <c r="AM20" s="37"/>
      <c r="AN20" s="37"/>
      <c r="AO20" s="37"/>
      <c r="AP20" s="37"/>
      <c r="AQ20" s="37"/>
      <c r="AR20" s="37"/>
      <c r="AS20" s="37"/>
      <c r="AT20" s="64"/>
      <c r="AU20" s="64"/>
      <c r="AV20" s="37"/>
      <c r="AW20" s="37"/>
      <c r="AX20" s="64"/>
      <c r="AY20" s="65"/>
      <c r="AZ20" s="53"/>
      <c r="BA20" s="53"/>
      <c r="BB20" s="53"/>
      <c r="BC20" s="53"/>
      <c r="BD20" s="42"/>
      <c r="BE20" s="42"/>
      <c r="BF20" s="32"/>
    </row>
    <row r="21" spans="1:59" s="22" customFormat="1" ht="15" customHeight="1" x14ac:dyDescent="0.25">
      <c r="A21" s="38"/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68"/>
      <c r="AZ21" s="40"/>
      <c r="BA21" s="40"/>
      <c r="BB21" s="40"/>
      <c r="BC21" s="40"/>
      <c r="BD21" s="40"/>
      <c r="BE21" s="40"/>
      <c r="BF21" s="29"/>
    </row>
    <row r="22" spans="1:59" s="8" customFormat="1" ht="27.6" x14ac:dyDescent="0.25">
      <c r="A22" s="21"/>
      <c r="B22" s="21"/>
      <c r="C22" s="24" t="s">
        <v>1</v>
      </c>
      <c r="D22" s="24"/>
      <c r="E22" s="24"/>
      <c r="F22" s="24"/>
      <c r="G22" s="24"/>
      <c r="H22" s="95">
        <f>Année_Calendaire</f>
        <v>2016</v>
      </c>
      <c r="I22" s="95"/>
      <c r="J22" s="88"/>
      <c r="K22" s="88"/>
      <c r="L22" s="31"/>
      <c r="M22" s="31"/>
      <c r="N22" s="31"/>
      <c r="O22" s="31"/>
      <c r="P22" s="31"/>
      <c r="Q22" s="31"/>
      <c r="R22" s="31"/>
      <c r="S22" s="88"/>
      <c r="T22" s="88"/>
      <c r="U22" s="24" t="s">
        <v>1</v>
      </c>
      <c r="V22" s="24"/>
      <c r="W22" s="24"/>
      <c r="X22" s="24"/>
      <c r="Y22" s="24"/>
      <c r="Z22" s="95">
        <f>Année_Calendaire</f>
        <v>2016</v>
      </c>
      <c r="AA22" s="95"/>
      <c r="AB22" s="88"/>
      <c r="AC22" s="88"/>
      <c r="AD22" s="31"/>
      <c r="AE22" s="31"/>
      <c r="AF22" s="31"/>
      <c r="AG22" s="31"/>
      <c r="AH22" s="31"/>
      <c r="AI22" s="31"/>
      <c r="AJ22" s="31"/>
      <c r="AK22" s="88"/>
      <c r="AL22" s="88"/>
      <c r="AM22" s="24" t="s">
        <v>1</v>
      </c>
      <c r="AN22" s="24"/>
      <c r="AO22" s="24"/>
      <c r="AP22" s="24"/>
      <c r="AQ22" s="24"/>
      <c r="AR22" s="95">
        <f>Année_Calendaire</f>
        <v>2016</v>
      </c>
      <c r="AS22" s="95"/>
      <c r="AT22" s="88"/>
      <c r="AU22" s="88"/>
      <c r="AV22" s="31"/>
      <c r="AW22" s="31"/>
      <c r="AX22" s="88"/>
      <c r="AY22" s="52"/>
      <c r="AZ22" s="52"/>
      <c r="BA22" s="52"/>
      <c r="BB22" s="52"/>
      <c r="BC22" s="52"/>
      <c r="BD22" s="52"/>
      <c r="BE22" s="52"/>
      <c r="BF22" s="32"/>
    </row>
    <row r="23" spans="1:59" s="8" customFormat="1" ht="29.25" customHeight="1" x14ac:dyDescent="0.25">
      <c r="A23" s="31"/>
      <c r="B23" s="92"/>
      <c r="C23" s="62" t="s">
        <v>13</v>
      </c>
      <c r="D23" s="62" t="s">
        <v>14</v>
      </c>
      <c r="E23" s="62" t="s">
        <v>15</v>
      </c>
      <c r="F23" s="62" t="s">
        <v>16</v>
      </c>
      <c r="G23" s="62" t="s">
        <v>17</v>
      </c>
      <c r="H23" s="62" t="s">
        <v>18</v>
      </c>
      <c r="I23" s="62" t="s">
        <v>19</v>
      </c>
      <c r="J23" s="96" t="s">
        <v>32</v>
      </c>
      <c r="K23" s="91"/>
      <c r="L23" s="62" t="s">
        <v>13</v>
      </c>
      <c r="M23" s="62" t="s">
        <v>14</v>
      </c>
      <c r="N23" s="62" t="s">
        <v>15</v>
      </c>
      <c r="O23" s="62" t="s">
        <v>16</v>
      </c>
      <c r="P23" s="62" t="s">
        <v>17</v>
      </c>
      <c r="Q23" s="62" t="s">
        <v>18</v>
      </c>
      <c r="R23" s="62" t="s">
        <v>19</v>
      </c>
      <c r="S23" s="96" t="s">
        <v>32</v>
      </c>
      <c r="T23" s="91"/>
      <c r="U23" s="62" t="s">
        <v>13</v>
      </c>
      <c r="V23" s="62" t="s">
        <v>14</v>
      </c>
      <c r="W23" s="62" t="s">
        <v>15</v>
      </c>
      <c r="X23" s="62" t="s">
        <v>16</v>
      </c>
      <c r="Y23" s="62" t="s">
        <v>17</v>
      </c>
      <c r="Z23" s="62" t="s">
        <v>18</v>
      </c>
      <c r="AA23" s="62" t="s">
        <v>19</v>
      </c>
      <c r="AB23" s="96" t="s">
        <v>32</v>
      </c>
      <c r="AC23" s="91"/>
      <c r="AD23" s="62" t="s">
        <v>13</v>
      </c>
      <c r="AE23" s="62" t="s">
        <v>14</v>
      </c>
      <c r="AF23" s="62" t="s">
        <v>15</v>
      </c>
      <c r="AG23" s="62" t="s">
        <v>16</v>
      </c>
      <c r="AH23" s="62" t="s">
        <v>17</v>
      </c>
      <c r="AI23" s="62" t="s">
        <v>18</v>
      </c>
      <c r="AJ23" s="62" t="s">
        <v>19</v>
      </c>
      <c r="AK23" s="96" t="s">
        <v>32</v>
      </c>
      <c r="AL23" s="87"/>
      <c r="AM23" s="62" t="s">
        <v>13</v>
      </c>
      <c r="AN23" s="62" t="s">
        <v>14</v>
      </c>
      <c r="AO23" s="62" t="s">
        <v>15</v>
      </c>
      <c r="AP23" s="62" t="s">
        <v>16</v>
      </c>
      <c r="AQ23" s="62" t="s">
        <v>17</v>
      </c>
      <c r="AR23" s="62" t="s">
        <v>18</v>
      </c>
      <c r="AS23" s="62" t="s">
        <v>19</v>
      </c>
      <c r="AT23" s="96" t="s">
        <v>32</v>
      </c>
      <c r="AU23" s="87"/>
      <c r="AV23" s="62" t="s">
        <v>13</v>
      </c>
      <c r="AW23" s="62" t="s">
        <v>14</v>
      </c>
      <c r="AX23" s="96" t="s">
        <v>32</v>
      </c>
      <c r="AY23" s="96" t="s">
        <v>35</v>
      </c>
      <c r="AZ23" s="97">
        <f>AY30+AY31+AY32</f>
        <v>0</v>
      </c>
      <c r="BA23" s="97">
        <f>AZ23+BA5</f>
        <v>15</v>
      </c>
      <c r="BB23" s="31"/>
      <c r="BC23" s="31"/>
      <c r="BD23" s="31"/>
      <c r="BE23" s="31"/>
      <c r="BF23" s="32"/>
    </row>
    <row r="24" spans="1:59" s="8" customFormat="1" ht="15" customHeight="1" x14ac:dyDescent="0.25">
      <c r="A24" s="48"/>
      <c r="B24" s="83"/>
      <c r="C24" s="67">
        <f>IF(DAY(Fév_Dim1)=1,"",IF(AND(YEAR(Fév_Dim1+1)=Année_Calendaire,MONTH(Fév_Dim1+1)=2),Fév_Dim1+1,""))</f>
        <v>42401</v>
      </c>
      <c r="D24" s="67">
        <f>IF(DAY(Fév_Dim1)=1,"",IF(AND(YEAR(Fév_Dim1+2)=Année_Calendaire,MONTH(Fév_Dim1+2)=2),Fév_Dim1+2,""))</f>
        <v>42402</v>
      </c>
      <c r="E24" s="67">
        <f>IF(DAY(Fév_Dim1)=1,"",IF(AND(YEAR(Fév_Dim1+3)=Année_Calendaire,MONTH(Fév_Dim1+3)=2),Fév_Dim1+3,""))</f>
        <v>42403</v>
      </c>
      <c r="F24" s="67">
        <f>IF(DAY(Fév_Dim1)=1,"",IF(AND(YEAR(Fév_Dim1+4)=Année_Calendaire,MONTH(Fév_Dim1+4)=2),Fév_Dim1+4,""))</f>
        <v>42404</v>
      </c>
      <c r="G24" s="67">
        <f>IF(DAY(Fév_Dim1)=1,"",IF(AND(YEAR(Fév_Dim1+5)=Année_Calendaire,MONTH(Fév_Dim1+5)=2),Fév_Dim1+5,""))</f>
        <v>42405</v>
      </c>
      <c r="H24" s="67">
        <f>IF(DAY(Fév_Dim1)=1,"",IF(AND(YEAR(Fév_Dim1+6)=Année_Calendaire,MONTH(Fév_Dim1+6)=2),Fév_Dim1+6,""))</f>
        <v>42406</v>
      </c>
      <c r="I24" s="67">
        <f>IF(DAY(Fév_Dim1)=1,IF(AND(YEAR(Fév_Dim1)=Année_Calendaire,MONTH(Fév_Dim1)=2),Fév_Dim1,""),IF(AND(YEAR(Fév_Dim1+7)=Année_Calendaire,MONTH(Fév_Dim1+7)=2),Fév_Dim1+7,""))</f>
        <v>42407</v>
      </c>
      <c r="J24" s="96"/>
      <c r="K24" s="87"/>
      <c r="L24" s="67">
        <f>IF(DAY(Fév_Dim1)=1,IF(AND(YEAR(Fév_Dim1+1)=Année_Calendaire,MONTH(Fév_Dim1+1)=2),Fév_Dim1+1,""),IF(AND(YEAR(Fév_Dim1+8)=Année_Calendaire,MONTH(Fév_Dim1+8)=2),Fév_Dim1+8,""))</f>
        <v>42408</v>
      </c>
      <c r="M24" s="67">
        <f>IF(DAY(Fév_Dim1)=1,IF(AND(YEAR(Fév_Dim1+2)=Année_Calendaire,MONTH(Fév_Dim1+2)=2),Fév_Dim1+2,""),IF(AND(YEAR(Fév_Dim1+9)=Année_Calendaire,MONTH(Fév_Dim1+9)=2),Fév_Dim1+9,""))</f>
        <v>42409</v>
      </c>
      <c r="N24" s="67">
        <f>IF(DAY(Fév_Dim1)=1,IF(AND(YEAR(Fév_Dim1+3)=Année_Calendaire,MONTH(Fév_Dim1+3)=2),Fév_Dim1+3,""),IF(AND(YEAR(Fév_Dim1+10)=Année_Calendaire,MONTH(Fév_Dim1+10)=2),Fév_Dim1+10,""))</f>
        <v>42410</v>
      </c>
      <c r="O24" s="67">
        <f>IF(DAY(Fév_Dim1)=1,IF(AND(YEAR(Fév_Dim1+4)=Année_Calendaire,MONTH(Fév_Dim1+4)=2),Fév_Dim1+4,""),IF(AND(YEAR(Fév_Dim1+11)=Année_Calendaire,MONTH(Fév_Dim1+11)=2),Fév_Dim1+11,""))</f>
        <v>42411</v>
      </c>
      <c r="P24" s="67">
        <f>IF(DAY(Fév_Dim1)=1,IF(AND(YEAR(Fév_Dim1+5)=Année_Calendaire,MONTH(Fév_Dim1+5)=2),Fév_Dim1+5,""),IF(AND(YEAR(Fév_Dim1+12)=Année_Calendaire,MONTH(Fév_Dim1+12)=2),Fév_Dim1+12,""))</f>
        <v>42412</v>
      </c>
      <c r="Q24" s="67">
        <f>IF(DAY(Fév_Dim1)=1,IF(AND(YEAR(Fév_Dim1+6)=Année_Calendaire,MONTH(Fév_Dim1+6)=2),Fév_Dim1+6,""),IF(AND(YEAR(Fév_Dim1+13)=Année_Calendaire,MONTH(Fév_Dim1+13)=2),Fév_Dim1+13,""))</f>
        <v>42413</v>
      </c>
      <c r="R24" s="67">
        <f>IF(DAY(Fév_Dim1)=1,IF(AND(YEAR(Fév_Dim1+7)=Année_Calendaire,MONTH(Fév_Dim1+7)=2),Fév_Dim1+7,""),IF(AND(YEAR(Fév_Dim1+14)=Année_Calendaire,MONTH(Fév_Dim1+14)=2),Fév_Dim1+14,""))</f>
        <v>42414</v>
      </c>
      <c r="S24" s="96"/>
      <c r="T24" s="87"/>
      <c r="U24" s="67">
        <f>IF(DAY(Fév_Dim1)=1,IF(AND(YEAR(Fév_Dim1+8)=Année_Calendaire,MONTH(Fév_Dim1+8)=2),Fév_Dim1+8,""),IF(AND(YEAR(Fév_Dim1+15)=Année_Calendaire,MONTH(Fév_Dim1+15)=2),Fév_Dim1+15,""))</f>
        <v>42415</v>
      </c>
      <c r="V24" s="67">
        <f>IF(DAY(Fév_Dim1)=1,IF(AND(YEAR(Fév_Dim1+9)=Année_Calendaire,MONTH(Fév_Dim1+9)=2),Fév_Dim1+9,""),IF(AND(YEAR(Fév_Dim1+16)=Année_Calendaire,MONTH(Fév_Dim1+16)=2),Fév_Dim1+16,""))</f>
        <v>42416</v>
      </c>
      <c r="W24" s="67">
        <f>IF(DAY(Fév_Dim1)=1,IF(AND(YEAR(Fév_Dim1+10)=Année_Calendaire,MONTH(Fév_Dim1+10)=2),Fév_Dim1+10,""),IF(AND(YEAR(Fév_Dim1+17)=Année_Calendaire,MONTH(Fév_Dim1+17)=2),Fév_Dim1+17,""))</f>
        <v>42417</v>
      </c>
      <c r="X24" s="67">
        <f>IF(DAY(Fév_Dim1)=1,IF(AND(YEAR(Fév_Dim1+11)=Année_Calendaire,MONTH(Fév_Dim1+11)=2),Fév_Dim1+11,""),IF(AND(YEAR(Fév_Dim1+18)=Année_Calendaire,MONTH(Fév_Dim1+18)=2),Fév_Dim1+18,""))</f>
        <v>42418</v>
      </c>
      <c r="Y24" s="67">
        <f>IF(DAY(Fév_Dim1)=1,IF(AND(YEAR(Fév_Dim1+12)=Année_Calendaire,MONTH(Fév_Dim1+12)=2),Fév_Dim1+12,""),IF(AND(YEAR(Fév_Dim1+19)=Année_Calendaire,MONTH(Fév_Dim1+19)=2),Fév_Dim1+19,""))</f>
        <v>42419</v>
      </c>
      <c r="Z24" s="67">
        <f>IF(DAY(Fév_Dim1)=1,IF(AND(YEAR(Fév_Dim1+13)=Année_Calendaire,MONTH(Fév_Dim1+13)=2),Fév_Dim1+13,""),IF(AND(YEAR(Fév_Dim1+20)=Année_Calendaire,MONTH(Fév_Dim1+20)=2),Fév_Dim1+20,""))</f>
        <v>42420</v>
      </c>
      <c r="AA24" s="67">
        <f>IF(DAY(Fév_Dim1)=1,IF(AND(YEAR(Fév_Dim1+14)=Année_Calendaire,MONTH(Fév_Dim1+14)=2),Fév_Dim1+14,""),IF(AND(YEAR(Fév_Dim1+21)=Année_Calendaire,MONTH(Fév_Dim1+21)=2),Fév_Dim1+21,""))</f>
        <v>42421</v>
      </c>
      <c r="AB24" s="96"/>
      <c r="AC24" s="87"/>
      <c r="AD24" s="67">
        <f>IF(DAY(Fév_Dim1)=1,IF(AND(YEAR(Fév_Dim1+15)=Année_Calendaire,MONTH(Fév_Dim1+15)=2),Fév_Dim1+15,""),IF(AND(YEAR(Fév_Dim1+22)=Année_Calendaire,MONTH(Fév_Dim1+22)=2),Fév_Dim1+22,""))</f>
        <v>42422</v>
      </c>
      <c r="AE24" s="67">
        <f>IF(DAY(Fév_Dim1)=1,IF(AND(YEAR(Fév_Dim1+16)=Année_Calendaire,MONTH(Fév_Dim1+16)=2),Fév_Dim1+16,""),IF(AND(YEAR(Fév_Dim1+23)=Année_Calendaire,MONTH(Fév_Dim1+23)=2),Fév_Dim1+23,""))</f>
        <v>42423</v>
      </c>
      <c r="AF24" s="67">
        <f>IF(DAY(Fév_Dim1)=1,IF(AND(YEAR(Fév_Dim1+17)=Année_Calendaire,MONTH(Fév_Dim1+17)=2),Fév_Dim1+17,""),IF(AND(YEAR(Fév_Dim1+24)=Année_Calendaire,MONTH(Fév_Dim1+24)=2),Fév_Dim1+24,""))</f>
        <v>42424</v>
      </c>
      <c r="AG24" s="67">
        <f>IF(DAY(Fév_Dim1)=1,IF(AND(YEAR(Fév_Dim1+18)=Année_Calendaire,MONTH(Fév_Dim1+18)=2),Fév_Dim1+18,""),IF(AND(YEAR(Fév_Dim1+25)=Année_Calendaire,MONTH(Fév_Dim1+25)=2),Fév_Dim1+25,""))</f>
        <v>42425</v>
      </c>
      <c r="AH24" s="67">
        <f>IF(DAY(Fév_Dim1)=1,IF(AND(YEAR(Fév_Dim1+19)=Année_Calendaire,MONTH(Fév_Dim1+19)=2),Fév_Dim1+19,""),IF(AND(YEAR(Fév_Dim1+26)=Année_Calendaire,MONTH(Fév_Dim1+26)=2),Fév_Dim1+26,""))</f>
        <v>42426</v>
      </c>
      <c r="AI24" s="67">
        <f>IF(DAY(Fév_Dim1)=1,IF(AND(YEAR(Fév_Dim1+20)=Année_Calendaire,MONTH(Fév_Dim1+20)=2),Fév_Dim1+20,""),IF(AND(YEAR(Fév_Dim1+27)=Année_Calendaire,MONTH(Fév_Dim1+27)=2),Fév_Dim1+27,""))</f>
        <v>42427</v>
      </c>
      <c r="AJ24" s="67">
        <f>IF(DAY(Fév_Dim1)=1,IF(AND(YEAR(Fév_Dim1+21)=Année_Calendaire,MONTH(Fév_Dim1+21)=2),Fév_Dim1+21,""),IF(AND(YEAR(Fév_Dim1+28)=Année_Calendaire,MONTH(Fév_Dim1+28)=2),Fév_Dim1+28,""))</f>
        <v>42428</v>
      </c>
      <c r="AK24" s="96"/>
      <c r="AL24" s="87"/>
      <c r="AM24" s="67">
        <f>IF(DAY(Fév_Dim1)=1,IF(AND(YEAR(Fév_Dim1+22)=Année_Calendaire,MONTH(Fév_Dim1+22)=2),Fév_Dim1+22,""),IF(AND(YEAR(Fév_Dim1+29)=Année_Calendaire,MONTH(Fév_Dim1+29)=2),Fév_Dim1+29,""))</f>
        <v>42429</v>
      </c>
      <c r="AN24" s="67" t="str">
        <f>IF(DAY(Fév_Dim1)=1,IF(AND(YEAR(Fév_Dim1+23)=Année_Calendaire,MONTH(Fév_Dim1+23)=2),Fév_Dim1+23,""),IF(AND(YEAR(Fév_Dim1+30)=Année_Calendaire,MONTH(Fév_Dim1+30)=2),Fév_Dim1+30,""))</f>
        <v/>
      </c>
      <c r="AO24" s="67" t="str">
        <f>IF(DAY(Fév_Dim1)=1,IF(AND(YEAR(Fév_Dim1+24)=Année_Calendaire,MONTH(Fév_Dim1+24)=2),Fév_Dim1+24,""),IF(AND(YEAR(Fév_Dim1+31)=Année_Calendaire,MONTH(Fév_Dim1+31)=2),Fév_Dim1+31,""))</f>
        <v/>
      </c>
      <c r="AP24" s="67" t="str">
        <f>IF(DAY(Fév_Dim1)=1,IF(AND(YEAR(Fév_Dim1+25)=Année_Calendaire,MONTH(Fév_Dim1+25)=2),Fév_Dim1+25,""),IF(AND(YEAR(Fév_Dim1+32)=Année_Calendaire,MONTH(Fév_Dim1+32)=2),Fév_Dim1+32,""))</f>
        <v/>
      </c>
      <c r="AQ24" s="67" t="str">
        <f>IF(DAY(Fév_Dim1)=1,IF(AND(YEAR(Fév_Dim1+26)=Année_Calendaire,MONTH(Fév_Dim1+26)=2),Fév_Dim1+26,""),IF(AND(YEAR(Fév_Dim1+33)=Année_Calendaire,MONTH(Fév_Dim1+33)=2),Fév_Dim1+33,""))</f>
        <v/>
      </c>
      <c r="AR24" s="67" t="str">
        <f>IF(DAY(Fév_Dim1)=1,IF(AND(YEAR(Fév_Dim1+27)=Année_Calendaire,MONTH(Fév_Dim1+27)=2),Fév_Dim1+27,""),IF(AND(YEAR(Fév_Dim1+34)=Année_Calendaire,MONTH(Fév_Dim1+34)=2),Fév_Dim1+34,""))</f>
        <v/>
      </c>
      <c r="AS24" s="67" t="str">
        <f>IF(DAY(Fév_Dim1)=1,IF(AND(YEAR(Fév_Dim1+28)=Année_Calendaire,MONTH(Fév_Dim1+28)=2),Fév_Dim1+28,""),IF(AND(YEAR(Fév_Dim1+35)=Année_Calendaire,MONTH(Fév_Dim1+35)=2),Fév_Dim1+35,""))</f>
        <v/>
      </c>
      <c r="AT24" s="96"/>
      <c r="AU24" s="87"/>
      <c r="AV24" s="61" t="str">
        <f>IF(DAY(Fév_Dim1)=1,IF(AND(YEAR(Fév_Dim1+29)=Année_Calendaire,MONTH(Fév_Dim1+29)=2),Fév_Dim1+29,""),IF(AND(YEAR(Fév_Dim1+36)=Année_Calendaire,MONTH(Fév_Dim1+36)=2),Fév_Dim1+36,""))</f>
        <v/>
      </c>
      <c r="AW24" s="61" t="str">
        <f>IF(DAY(Fév_Dim1)=1,IF(AND(YEAR(Fév_Dim1+30)=Année_Calendaire,MONTH(Fév_Dim1+30)=2),Fév_Dim1+30,""),IF(AND(YEAR(Fév_Dim1+37)=Année_Calendaire,MONTH(Fév_Dim1+37)=2),Fév_Dim1+37,""))</f>
        <v/>
      </c>
      <c r="AX24" s="96"/>
      <c r="AY24" s="96"/>
      <c r="AZ24" s="97"/>
      <c r="BA24" s="97"/>
      <c r="BB24" s="52"/>
      <c r="BC24" s="52"/>
      <c r="BD24" s="52"/>
      <c r="BE24" s="52"/>
      <c r="BF24" s="35"/>
    </row>
    <row r="25" spans="1:59" s="8" customFormat="1" ht="15" customHeight="1" x14ac:dyDescent="0.25">
      <c r="A25" s="21" t="s">
        <v>2</v>
      </c>
      <c r="B25" s="81"/>
      <c r="C25" s="31"/>
      <c r="D25" s="31"/>
      <c r="E25" s="31"/>
      <c r="F25" s="31"/>
      <c r="G25" s="31"/>
      <c r="H25" s="31"/>
      <c r="I25" s="31"/>
      <c r="J25" s="60"/>
      <c r="K25" s="60"/>
      <c r="L25" s="31"/>
      <c r="M25" s="31"/>
      <c r="N25" s="31"/>
      <c r="O25" s="31"/>
      <c r="P25" s="31"/>
      <c r="Q25" s="31"/>
      <c r="R25" s="31"/>
      <c r="S25" s="60"/>
      <c r="T25" s="60"/>
      <c r="U25" s="31"/>
      <c r="V25" s="31"/>
      <c r="W25" s="31"/>
      <c r="X25" s="31"/>
      <c r="Y25" s="31"/>
      <c r="Z25" s="31"/>
      <c r="AA25" s="31"/>
      <c r="AB25" s="60"/>
      <c r="AC25" s="60"/>
      <c r="AD25" s="31"/>
      <c r="AE25" s="31"/>
      <c r="AF25" s="31"/>
      <c r="AG25" s="31"/>
      <c r="AH25" s="31"/>
      <c r="AI25" s="31"/>
      <c r="AJ25" s="31"/>
      <c r="AK25" s="60"/>
      <c r="AL25" s="60"/>
      <c r="AM25" s="31"/>
      <c r="AN25" s="31"/>
      <c r="AO25" s="31"/>
      <c r="AP25" s="31"/>
      <c r="AQ25" s="31"/>
      <c r="AR25" s="31"/>
      <c r="AS25" s="31"/>
      <c r="AT25" s="60"/>
      <c r="AU25" s="60"/>
      <c r="AV25" s="31"/>
      <c r="AW25" s="31"/>
      <c r="AX25" s="60"/>
      <c r="AY25" s="63"/>
      <c r="AZ25" s="52"/>
      <c r="BA25" s="52"/>
      <c r="BB25" s="52"/>
      <c r="BC25" s="52"/>
      <c r="BD25" s="52"/>
      <c r="BE25" s="52"/>
      <c r="BF25" s="35"/>
    </row>
    <row r="26" spans="1:59" s="33" customFormat="1" ht="15" customHeight="1" x14ac:dyDescent="0.25">
      <c r="A26" s="21" t="s">
        <v>12</v>
      </c>
      <c r="B26" s="81"/>
      <c r="C26" s="60">
        <f t="shared" ref="C26:I26" si="30">IF(C25="Matin",1,IF(C25="AM",1,0))</f>
        <v>0</v>
      </c>
      <c r="D26" s="60">
        <f t="shared" si="30"/>
        <v>0</v>
      </c>
      <c r="E26" s="60">
        <f t="shared" si="30"/>
        <v>0</v>
      </c>
      <c r="F26" s="60">
        <f t="shared" si="30"/>
        <v>0</v>
      </c>
      <c r="G26" s="60">
        <f t="shared" si="30"/>
        <v>0</v>
      </c>
      <c r="H26" s="60">
        <f t="shared" si="30"/>
        <v>0</v>
      </c>
      <c r="I26" s="60">
        <f t="shared" si="30"/>
        <v>0</v>
      </c>
      <c r="J26" s="60">
        <f>SUM(C26:I26)</f>
        <v>0</v>
      </c>
      <c r="K26" s="60"/>
      <c r="L26" s="60">
        <f t="shared" ref="L26:R26" si="31">IF(L25="Matin",1,IF(L25="AM",1,0))</f>
        <v>0</v>
      </c>
      <c r="M26" s="60">
        <f t="shared" si="31"/>
        <v>0</v>
      </c>
      <c r="N26" s="60">
        <f t="shared" si="31"/>
        <v>0</v>
      </c>
      <c r="O26" s="60">
        <f t="shared" si="31"/>
        <v>0</v>
      </c>
      <c r="P26" s="60">
        <f t="shared" si="31"/>
        <v>0</v>
      </c>
      <c r="Q26" s="60">
        <f t="shared" si="31"/>
        <v>0</v>
      </c>
      <c r="R26" s="60">
        <f t="shared" si="31"/>
        <v>0</v>
      </c>
      <c r="S26" s="60">
        <f>SUM(L26:R26)</f>
        <v>0</v>
      </c>
      <c r="T26" s="60"/>
      <c r="U26" s="60">
        <f t="shared" ref="U26:AA26" si="32">IF(U25="Matin",1,IF(U25="AM",1,0))</f>
        <v>0</v>
      </c>
      <c r="V26" s="60">
        <f t="shared" si="32"/>
        <v>0</v>
      </c>
      <c r="W26" s="60">
        <f t="shared" si="32"/>
        <v>0</v>
      </c>
      <c r="X26" s="60">
        <f t="shared" si="32"/>
        <v>0</v>
      </c>
      <c r="Y26" s="60">
        <f t="shared" si="32"/>
        <v>0</v>
      </c>
      <c r="Z26" s="60">
        <f t="shared" si="32"/>
        <v>0</v>
      </c>
      <c r="AA26" s="60">
        <f t="shared" si="32"/>
        <v>0</v>
      </c>
      <c r="AB26" s="60">
        <f>SUM(U26:AA26)</f>
        <v>0</v>
      </c>
      <c r="AC26" s="60"/>
      <c r="AD26" s="60">
        <f t="shared" ref="AD26:AJ26" si="33">IF(AD25="Matin",1,IF(AD25="AM",1,0))</f>
        <v>0</v>
      </c>
      <c r="AE26" s="60">
        <f t="shared" si="33"/>
        <v>0</v>
      </c>
      <c r="AF26" s="60">
        <f t="shared" si="33"/>
        <v>0</v>
      </c>
      <c r="AG26" s="60">
        <f t="shared" si="33"/>
        <v>0</v>
      </c>
      <c r="AH26" s="60">
        <f t="shared" si="33"/>
        <v>0</v>
      </c>
      <c r="AI26" s="60">
        <f t="shared" si="33"/>
        <v>0</v>
      </c>
      <c r="AJ26" s="60">
        <f t="shared" si="33"/>
        <v>0</v>
      </c>
      <c r="AK26" s="60">
        <f>SUM(AD26:AJ26)</f>
        <v>0</v>
      </c>
      <c r="AL26" s="60"/>
      <c r="AM26" s="60">
        <f t="shared" ref="AM26:AS26" si="34">IF(AM25="Matin",1,IF(AM25="AM",1,0))</f>
        <v>0</v>
      </c>
      <c r="AN26" s="60">
        <f t="shared" si="34"/>
        <v>0</v>
      </c>
      <c r="AO26" s="60">
        <f t="shared" si="34"/>
        <v>0</v>
      </c>
      <c r="AP26" s="60">
        <f t="shared" si="34"/>
        <v>0</v>
      </c>
      <c r="AQ26" s="60">
        <f t="shared" si="34"/>
        <v>0</v>
      </c>
      <c r="AR26" s="60">
        <f t="shared" si="34"/>
        <v>0</v>
      </c>
      <c r="AS26" s="60">
        <f t="shared" si="34"/>
        <v>0</v>
      </c>
      <c r="AT26" s="60">
        <f>SUM(AM26:AS26)</f>
        <v>0</v>
      </c>
      <c r="AU26" s="60"/>
      <c r="AV26" s="60">
        <f t="shared" ref="AV26:AW26" si="35">IF(AV25="Matin",1,IF(AV25="AM",1,0))</f>
        <v>0</v>
      </c>
      <c r="AW26" s="60">
        <f t="shared" si="35"/>
        <v>0</v>
      </c>
      <c r="AX26" s="60">
        <f t="shared" ref="AX26:AX33" si="36">SUM(AV26:AW26)</f>
        <v>0</v>
      </c>
      <c r="AY26" s="60">
        <f>J26+S26+AB26+AK26+AT26+AX26</f>
        <v>0</v>
      </c>
      <c r="AZ26" s="31"/>
      <c r="BA26" s="31"/>
      <c r="BB26" s="31"/>
      <c r="BC26" s="31"/>
      <c r="BD26" s="31"/>
      <c r="BE26" s="31"/>
      <c r="BF26" s="31"/>
      <c r="BG26" s="34"/>
    </row>
    <row r="27" spans="1:59" s="33" customFormat="1" ht="15" customHeight="1" x14ac:dyDescent="0.25">
      <c r="A27" s="21" t="s">
        <v>4</v>
      </c>
      <c r="B27" s="81"/>
      <c r="C27" s="60">
        <f>IF(C28&gt;=1,1,0)</f>
        <v>0</v>
      </c>
      <c r="D27" s="60">
        <f>IF(D28&gt;=1,1,0)</f>
        <v>0</v>
      </c>
      <c r="E27" s="60">
        <f t="shared" ref="E27:I27" si="37">IF(E28&gt;=1,1,0)</f>
        <v>0</v>
      </c>
      <c r="F27" s="60">
        <f t="shared" si="37"/>
        <v>0</v>
      </c>
      <c r="G27" s="60">
        <f t="shared" si="37"/>
        <v>0</v>
      </c>
      <c r="H27" s="60">
        <f t="shared" si="37"/>
        <v>0</v>
      </c>
      <c r="I27" s="60">
        <f t="shared" si="37"/>
        <v>0</v>
      </c>
      <c r="J27" s="60">
        <f t="shared" ref="J27:J37" si="38">SUM(C27:I27)</f>
        <v>0</v>
      </c>
      <c r="K27" s="60"/>
      <c r="L27" s="60">
        <f>IF(L28&gt;=1,1,0)</f>
        <v>0</v>
      </c>
      <c r="M27" s="60">
        <f t="shared" ref="M27:R27" si="39">IF(M28&gt;=1,1,0)</f>
        <v>0</v>
      </c>
      <c r="N27" s="60">
        <f t="shared" si="39"/>
        <v>0</v>
      </c>
      <c r="O27" s="60">
        <f t="shared" si="39"/>
        <v>0</v>
      </c>
      <c r="P27" s="60">
        <f t="shared" si="39"/>
        <v>0</v>
      </c>
      <c r="Q27" s="60">
        <f t="shared" si="39"/>
        <v>0</v>
      </c>
      <c r="R27" s="60">
        <f t="shared" si="39"/>
        <v>0</v>
      </c>
      <c r="S27" s="60">
        <f t="shared" ref="S27:S37" si="40">SUM(L27:R27)</f>
        <v>0</v>
      </c>
      <c r="T27" s="60"/>
      <c r="U27" s="60">
        <f>IF(U28&gt;=1,1,0)</f>
        <v>0</v>
      </c>
      <c r="V27" s="60">
        <f t="shared" ref="V27:AA27" si="41">IF(V28&gt;=1,1,0)</f>
        <v>0</v>
      </c>
      <c r="W27" s="60">
        <f t="shared" si="41"/>
        <v>0</v>
      </c>
      <c r="X27" s="60">
        <f t="shared" si="41"/>
        <v>0</v>
      </c>
      <c r="Y27" s="60">
        <f t="shared" si="41"/>
        <v>0</v>
      </c>
      <c r="Z27" s="60">
        <f t="shared" si="41"/>
        <v>0</v>
      </c>
      <c r="AA27" s="60">
        <f t="shared" si="41"/>
        <v>0</v>
      </c>
      <c r="AB27" s="60">
        <f t="shared" ref="AB27:AB37" si="42">SUM(U27:AA27)</f>
        <v>0</v>
      </c>
      <c r="AC27" s="60"/>
      <c r="AD27" s="60">
        <f>IF(AD28&gt;=1,1,0)</f>
        <v>0</v>
      </c>
      <c r="AE27" s="60">
        <f t="shared" ref="AE27:AJ27" si="43">IF(AE28&gt;=1,1,0)</f>
        <v>0</v>
      </c>
      <c r="AF27" s="60">
        <f t="shared" si="43"/>
        <v>0</v>
      </c>
      <c r="AG27" s="60">
        <f t="shared" si="43"/>
        <v>0</v>
      </c>
      <c r="AH27" s="60">
        <f t="shared" si="43"/>
        <v>0</v>
      </c>
      <c r="AI27" s="60">
        <f t="shared" si="43"/>
        <v>0</v>
      </c>
      <c r="AJ27" s="60">
        <f t="shared" si="43"/>
        <v>0</v>
      </c>
      <c r="AK27" s="60">
        <f t="shared" ref="AK27:AK37" si="44">SUM(AD27:AJ27)</f>
        <v>0</v>
      </c>
      <c r="AL27" s="60"/>
      <c r="AM27" s="60">
        <f>IF(AM28&gt;=1,1,0)</f>
        <v>0</v>
      </c>
      <c r="AN27" s="60">
        <f t="shared" ref="AN27:AS27" si="45">IF(AN28&gt;=1,1,0)</f>
        <v>0</v>
      </c>
      <c r="AO27" s="60">
        <f t="shared" si="45"/>
        <v>0</v>
      </c>
      <c r="AP27" s="60">
        <f t="shared" si="45"/>
        <v>0</v>
      </c>
      <c r="AQ27" s="60">
        <f t="shared" si="45"/>
        <v>0</v>
      </c>
      <c r="AR27" s="60">
        <f t="shared" si="45"/>
        <v>0</v>
      </c>
      <c r="AS27" s="60">
        <f t="shared" si="45"/>
        <v>0</v>
      </c>
      <c r="AT27" s="60">
        <f t="shared" ref="AT27:AT37" si="46">SUM(AM27:AS27)</f>
        <v>0</v>
      </c>
      <c r="AU27" s="60"/>
      <c r="AV27" s="60">
        <f>IF(AV28&gt;=1,1,0)</f>
        <v>0</v>
      </c>
      <c r="AW27" s="60">
        <f t="shared" ref="AW27" si="47">IF(AW28&gt;=1,1,0)</f>
        <v>0</v>
      </c>
      <c r="AX27" s="60">
        <f t="shared" si="36"/>
        <v>0</v>
      </c>
      <c r="AY27" s="60">
        <f t="shared" ref="AY27:AY36" si="48">J27+S27+AB27+AK27+AT27+AX27</f>
        <v>0</v>
      </c>
      <c r="AZ27" s="52"/>
      <c r="BA27" s="52"/>
      <c r="BB27" s="52"/>
      <c r="BC27" s="52"/>
      <c r="BD27" s="52"/>
      <c r="BE27" s="52"/>
      <c r="BF27" s="35"/>
    </row>
    <row r="28" spans="1:59" s="8" customFormat="1" ht="15" customHeight="1" x14ac:dyDescent="0.25">
      <c r="A28" s="21" t="s">
        <v>3</v>
      </c>
      <c r="B28" s="81"/>
      <c r="C28" s="31"/>
      <c r="D28" s="31"/>
      <c r="E28" s="31"/>
      <c r="F28" s="31"/>
      <c r="G28" s="31"/>
      <c r="H28" s="31"/>
      <c r="I28" s="31"/>
      <c r="J28" s="60">
        <f t="shared" si="38"/>
        <v>0</v>
      </c>
      <c r="K28" s="60"/>
      <c r="L28" s="31"/>
      <c r="M28" s="31"/>
      <c r="N28" s="31"/>
      <c r="O28" s="31"/>
      <c r="P28" s="31"/>
      <c r="Q28" s="31"/>
      <c r="R28" s="31"/>
      <c r="S28" s="60">
        <f t="shared" si="40"/>
        <v>0</v>
      </c>
      <c r="T28" s="60"/>
      <c r="U28" s="31"/>
      <c r="V28" s="31"/>
      <c r="W28" s="31"/>
      <c r="X28" s="31"/>
      <c r="Y28" s="31"/>
      <c r="Z28" s="31"/>
      <c r="AA28" s="31"/>
      <c r="AB28" s="60">
        <f t="shared" si="42"/>
        <v>0</v>
      </c>
      <c r="AC28" s="60"/>
      <c r="AD28" s="31"/>
      <c r="AE28" s="31"/>
      <c r="AF28" s="31"/>
      <c r="AG28" s="31"/>
      <c r="AH28" s="31"/>
      <c r="AI28" s="31"/>
      <c r="AJ28" s="31"/>
      <c r="AK28" s="60">
        <f t="shared" si="44"/>
        <v>0</v>
      </c>
      <c r="AL28" s="60"/>
      <c r="AM28" s="31"/>
      <c r="AN28" s="31"/>
      <c r="AO28" s="31"/>
      <c r="AP28" s="31"/>
      <c r="AQ28" s="31"/>
      <c r="AR28" s="31"/>
      <c r="AS28" s="31"/>
      <c r="AT28" s="60">
        <f t="shared" si="46"/>
        <v>0</v>
      </c>
      <c r="AU28" s="60"/>
      <c r="AV28" s="31"/>
      <c r="AW28" s="31"/>
      <c r="AX28" s="60">
        <f t="shared" si="36"/>
        <v>0</v>
      </c>
      <c r="AY28" s="60">
        <f t="shared" si="48"/>
        <v>0</v>
      </c>
      <c r="AZ28" s="52"/>
      <c r="BA28" s="52"/>
      <c r="BB28" s="52"/>
      <c r="BC28" s="52"/>
      <c r="BD28" s="52"/>
      <c r="BE28" s="52"/>
      <c r="BF28" s="35"/>
    </row>
    <row r="29" spans="1:59" s="8" customFormat="1" ht="15" customHeight="1" x14ac:dyDescent="0.25">
      <c r="A29" s="36" t="s">
        <v>20</v>
      </c>
      <c r="B29" s="82"/>
      <c r="C29" s="66">
        <f>IF(C23&lt;&gt;"Dim",IF(C28&gt;32,MIN(C28,35)-32,0),0)</f>
        <v>0</v>
      </c>
      <c r="D29" s="66">
        <f>IF(D23&lt;&gt;"Dim",IF(SUM($C28:D28)&gt;32,MIN(SUM($C28:D28),35)-32-SUM($C29:C29),0),0)</f>
        <v>0</v>
      </c>
      <c r="E29" s="66">
        <f>IF(E23&lt;&gt;"Dim",IF(SUM($C28:E28)&gt;32,MIN(SUM($C28:E28),35)-32-SUM($C29:D29),0),0)</f>
        <v>0</v>
      </c>
      <c r="F29" s="66">
        <f>IF(F23&lt;&gt;"Dim",IF(SUM($C28:F28)&gt;32,MIN(SUM($C28:F28),35)-32-SUM($C29:E29),0),0)</f>
        <v>0</v>
      </c>
      <c r="G29" s="66">
        <f>IF(G23&lt;&gt;"Dim",IF(SUM($C28:G28)&gt;32,MIN(SUM($C28:G28),35)-32-SUM($C29:F29),0),0)</f>
        <v>0</v>
      </c>
      <c r="H29" s="66">
        <f>IF(H23&lt;&gt;"Dim",IF(SUM($C28:H28)&gt;32,MIN(SUM($C28:H28),35)-32-SUM($C29:G29),0),0)</f>
        <v>0</v>
      </c>
      <c r="I29" s="66">
        <f>IF(I23&lt;&gt;"Dim",IF(SUM($C28:I28)&gt;32,MIN(SUM($C28:I28),35)-32-SUM($C29:H29),0),0)</f>
        <v>0</v>
      </c>
      <c r="J29" s="60">
        <f t="shared" si="38"/>
        <v>0</v>
      </c>
      <c r="K29" s="60"/>
      <c r="L29" s="66">
        <f>IF(L23&lt;&gt;"Dim",IF(L28&gt;32,MIN(L28,35)-32,0),0)</f>
        <v>0</v>
      </c>
      <c r="M29" s="66">
        <f>IF(M23&lt;&gt;"Dim",IF(SUM($L28:M28)&gt;32,MIN(SUM($L28:M28),35)-32-SUM($L29:L29),0),0)</f>
        <v>0</v>
      </c>
      <c r="N29" s="66">
        <f>IF(N23&lt;&gt;"Dim",IF(SUM($L28:N28)&gt;32,MIN(SUM($L28:N28),35)-32-SUM($L29:M29),0),0)</f>
        <v>0</v>
      </c>
      <c r="O29" s="66">
        <f>IF(O23&lt;&gt;"Dim",IF(SUM($L28:O28)&gt;32,MIN(SUM($L28:O28),35)-32-SUM($L29:N29),0),0)</f>
        <v>0</v>
      </c>
      <c r="P29" s="66">
        <f>IF(P23&lt;&gt;"Dim",IF(SUM($L28:P28)&gt;32,MIN(SUM($L28:P28),35)-32-SUM($L29:O29),0),0)</f>
        <v>0</v>
      </c>
      <c r="Q29" s="66">
        <f>IF(Q23&lt;&gt;"Dim",IF(SUM($L28:Q28)&gt;32,MIN(SUM($L28:Q28),35)-32-SUM($L29:P29),0),0)</f>
        <v>0</v>
      </c>
      <c r="R29" s="66">
        <f>IF(R23&lt;&gt;"Dim",IF(SUM($L28:R28)&gt;32,MIN(SUM($L28:R28),35)-32-SUM($L29:Q29),0),0)</f>
        <v>0</v>
      </c>
      <c r="S29" s="60">
        <f t="shared" si="40"/>
        <v>0</v>
      </c>
      <c r="T29" s="60"/>
      <c r="U29" s="66">
        <f>IF(U23&lt;&gt;"Dim",IF(U28&gt;32,MIN(U28,35)-32,0),0)</f>
        <v>0</v>
      </c>
      <c r="V29" s="66">
        <f>IF(V23&lt;&gt;"Dim",IF(SUM($U28:V28)&gt;32,MIN(SUM($U28:V28),35)-32-SUM($U29:U29),0),0)</f>
        <v>0</v>
      </c>
      <c r="W29" s="66">
        <f>IF(W23&lt;&gt;"Dim",IF(SUM($U28:W28)&gt;32,MIN(SUM($U28:W28),35)-32-SUM($U29:V29),0),0)</f>
        <v>0</v>
      </c>
      <c r="X29" s="66">
        <f>IF(X23&lt;&gt;"Dim",IF(SUM($U28:X28)&gt;32,MIN(SUM($U28:X28),35)-32-SUM($U29:W29),0),0)</f>
        <v>0</v>
      </c>
      <c r="Y29" s="66">
        <f>IF(Y23&lt;&gt;"Dim",IF(SUM($U28:Y28)&gt;32,MIN(SUM($U28:Y28),35)-32-SUM($U29:X29),0),0)</f>
        <v>0</v>
      </c>
      <c r="Z29" s="66">
        <f>IF(Z23&lt;&gt;"Dim",IF(SUM($U28:Z28)&gt;32,MIN(SUM($U28:Z28),35)-32-SUM($U29:Y29),0),0)</f>
        <v>0</v>
      </c>
      <c r="AA29" s="66">
        <f>IF(AA23&lt;&gt;"Dim",IF(SUM($U28:AA28)&gt;32,MIN(SUM($U28:AA28),35)-32-SUM($U29:Z29),0),0)</f>
        <v>0</v>
      </c>
      <c r="AB29" s="60">
        <f t="shared" si="42"/>
        <v>0</v>
      </c>
      <c r="AC29" s="60"/>
      <c r="AD29" s="66">
        <f>IF(AD23&lt;&gt;"Dim",IF(AD28&gt;32,MIN(AD28,35)-32,0),0)</f>
        <v>0</v>
      </c>
      <c r="AE29" s="66">
        <f>IF(AE23&lt;&gt;"Dim",IF(SUM($AD28:AE28)&gt;32,MIN(SUM($AD28:AE28),35)-32-SUM($AD29:AD29),0),0)</f>
        <v>0</v>
      </c>
      <c r="AF29" s="66">
        <f>IF(AF23&lt;&gt;"Dim",IF(SUM($AD28:AF28)&gt;32,MIN(SUM($AD28:AF28),35)-32-SUM($AD29:AE29),0),0)</f>
        <v>0</v>
      </c>
      <c r="AG29" s="66">
        <f>IF(AG23&lt;&gt;"Dim",IF(SUM($AD28:AG28)&gt;32,MIN(SUM($AD28:AG28),35)-32-SUM($AD29:AF29),0),0)</f>
        <v>0</v>
      </c>
      <c r="AH29" s="66">
        <f>IF(AH23&lt;&gt;"Dim",IF(SUM($AD28:AH28)&gt;32,MIN(SUM($AD28:AH28),35)-32-SUM($AD29:AG29),0),0)</f>
        <v>0</v>
      </c>
      <c r="AI29" s="66">
        <f>IF(AI23&lt;&gt;"Dim",IF(SUM($AD28:AI28)&gt;32,MIN(SUM($AD28:AI28),35)-32-SUM($AD29:AH29),0),0)</f>
        <v>0</v>
      </c>
      <c r="AJ29" s="66">
        <f>IF(AJ23&lt;&gt;"Dim",IF(SUM($AD28:AJ28)&gt;32,MIN(SUM($AD28:AJ28),35)-32-SUM($AD29:AI29),0),0)</f>
        <v>0</v>
      </c>
      <c r="AK29" s="60">
        <f t="shared" si="44"/>
        <v>0</v>
      </c>
      <c r="AL29" s="60"/>
      <c r="AM29" s="66">
        <f>IF(AM23&lt;&gt;"Dim",IF(AM28&gt;32,MIN(AM28,35)-32,0),0)</f>
        <v>0</v>
      </c>
      <c r="AN29" s="66">
        <f>IF(AN23&lt;&gt;"Dim",IF(SUM($AM28:AN28)&gt;32,MIN(SUM($AM28:AN28),35)-32-SUM($AM29:AM29),0),0)</f>
        <v>0</v>
      </c>
      <c r="AO29" s="66">
        <f>IF(AO23&lt;&gt;"Dim",IF(SUM($AM28:AO28)&gt;32,MIN(SUM($AM28:AO28),35)-32-SUM($AM29:AN29),0),0)</f>
        <v>0</v>
      </c>
      <c r="AP29" s="66">
        <f>IF(AP23&lt;&gt;"Dim",IF(SUM($AM28:AP28)&gt;32,MIN(SUM($AM28:AP28),35)-32-SUM($AM29:AO29),0),0)</f>
        <v>0</v>
      </c>
      <c r="AQ29" s="66">
        <f>IF(AQ23&lt;&gt;"Dim",IF(SUM($AM28:AQ28)&gt;32,MIN(SUM($AM28:AQ28),35)-32-SUM($AM29:AP29),0),0)</f>
        <v>0</v>
      </c>
      <c r="AR29" s="66">
        <f>IF(AR23&lt;&gt;"Dim",IF(SUM($AM28:AR28)&gt;32,MIN(SUM($AM28:AR28),35)-32-SUM($AM29:AQ29),0),0)</f>
        <v>0</v>
      </c>
      <c r="AS29" s="66">
        <f>IF(AS23&lt;&gt;"Dim",IF(SUM($AM28:AS28)&gt;32,MIN(SUM($AM28:AS28),35)-32-SUM($AM29:AR29),0),0)</f>
        <v>0</v>
      </c>
      <c r="AT29" s="60">
        <f t="shared" si="46"/>
        <v>0</v>
      </c>
      <c r="AU29" s="60"/>
      <c r="AV29" s="66">
        <f>IF(AV23&lt;&gt;"Dim",IF(AV28&gt;32,MIN(AV28,35)-32,0),0)</f>
        <v>0</v>
      </c>
      <c r="AW29" s="66">
        <f>IF(AW23&lt;&gt;"Dim",IF(SUM($AV28:AW28)&gt;32,MIN(SUM($AV28:AW28),35)-32-SUM($AV29:AV29),0),0)</f>
        <v>0</v>
      </c>
      <c r="AX29" s="60">
        <f t="shared" si="36"/>
        <v>0</v>
      </c>
      <c r="AY29" s="60">
        <f t="shared" si="48"/>
        <v>0</v>
      </c>
      <c r="AZ29" s="52"/>
      <c r="BA29" s="52"/>
      <c r="BB29" s="52"/>
      <c r="BC29" s="52"/>
      <c r="BD29" s="52"/>
      <c r="BE29" s="52"/>
      <c r="BF29" s="35"/>
    </row>
    <row r="30" spans="1:59" s="8" customFormat="1" ht="15" customHeight="1" x14ac:dyDescent="0.25">
      <c r="A30" s="21" t="s">
        <v>6</v>
      </c>
      <c r="B30" s="81"/>
      <c r="C30" s="66">
        <f>IF(C23&lt;&gt;"Dim",IF(C28&gt;35,(MIN(C28,43)-35),0),0)</f>
        <v>0</v>
      </c>
      <c r="D30" s="66">
        <f>IF(D23&lt;&gt;"Dim",IF(SUM($C28:D28)&gt;35,(MIN(SUM($C28:D28),43)-35-SUM($C30:C30)),0),0)</f>
        <v>0</v>
      </c>
      <c r="E30" s="66">
        <f>IF(E23&lt;&gt;"Dim",IF(SUM($C28:E28)&gt;35,(MIN(SUM($C28:E28),43)-35-SUM($C30:D30)),0),0)</f>
        <v>0</v>
      </c>
      <c r="F30" s="66">
        <f>IF(F23&lt;&gt;"Dim",IF(SUM($C28:F28)&gt;35,(MIN(SUM($C28:F28),43)-35-SUM($C30:E30)),0),0)</f>
        <v>0</v>
      </c>
      <c r="G30" s="66">
        <f>IF(G23&lt;&gt;"Dim",IF(SUM($C28:G28)&gt;35,(MIN(SUM($C28:G28),43)-35-SUM($C30:F30)),0),0)</f>
        <v>0</v>
      </c>
      <c r="H30" s="66">
        <f>IF(H23&lt;&gt;"Dim",IF(SUM($C28:H28)&gt;35,(MIN(SUM($C28:H28),43)-35-SUM($C30:G30)),0),0)</f>
        <v>0</v>
      </c>
      <c r="I30" s="66">
        <f>IF(I23&lt;&gt;"Dim",IF(SUM($C28:I28)&gt;35,(MIN(SUM($C28:I28),43)-35-SUM($C30:H30)),0),0)</f>
        <v>0</v>
      </c>
      <c r="J30" s="60">
        <f t="shared" si="38"/>
        <v>0</v>
      </c>
      <c r="K30" s="60"/>
      <c r="L30" s="66">
        <f>IF(L23&lt;&gt;"Dim",IF(L28&gt;35,(MIN(L28,43)-35),0),0)</f>
        <v>0</v>
      </c>
      <c r="M30" s="66">
        <f>IF(M23&lt;&gt;"Dim",IF(SUM($L28:M28)&gt;35,(MIN(SUM($L28:M28),43)-35-SUM($L30:L30)),0),0)</f>
        <v>0</v>
      </c>
      <c r="N30" s="66">
        <f>IF(N23&lt;&gt;"Dim",IF(SUM($L28:N28)&gt;35,(MIN(SUM($L28:N28),43)-35-SUM($L30:M30)),0),0)</f>
        <v>0</v>
      </c>
      <c r="O30" s="66">
        <f>IF(O23&lt;&gt;"Dim",IF(SUM($L28:O28)&gt;35,(MIN(SUM($L28:O28),43)-35-SUM($L30:N30)),0),0)</f>
        <v>0</v>
      </c>
      <c r="P30" s="66">
        <f>IF(P23&lt;&gt;"Dim",IF(SUM($L28:P28)&gt;35,(MIN(SUM($L28:P28),43)-35-SUM($L30:O30)),0),0)</f>
        <v>0</v>
      </c>
      <c r="Q30" s="66">
        <f>IF(Q23&lt;&gt;"Dim",IF(SUM($L28:Q28)&gt;35,(MIN(SUM($L28:Q28),43)-35-SUM($L30:P30)),0),0)</f>
        <v>0</v>
      </c>
      <c r="R30" s="66">
        <f>IF(R23&lt;&gt;"Dim",IF(SUM($L28:R28)&gt;35,(MIN(SUM($L28:R28),43)-35-SUM($L30:Q30)),0),0)</f>
        <v>0</v>
      </c>
      <c r="S30" s="60">
        <f t="shared" si="40"/>
        <v>0</v>
      </c>
      <c r="T30" s="60"/>
      <c r="U30" s="66">
        <f>IF(U23&lt;&gt;"Dim",IF(U28&gt;35,(MIN(U28,43)-35),0),0)</f>
        <v>0</v>
      </c>
      <c r="V30" s="66">
        <f>IF(V23&lt;&gt;"Dim",IF(SUM($U28:V28)&gt;35,(MIN(SUM($U28:V28),43)-35-SUM($U30:U30)),0),0)</f>
        <v>0</v>
      </c>
      <c r="W30" s="66">
        <f>IF(W23&lt;&gt;"Dim",IF(SUM($U28:W28)&gt;35,(MIN(SUM($U28:W28),43)-35-SUM($U30:V30)),0),0)</f>
        <v>0</v>
      </c>
      <c r="X30" s="66">
        <f>IF(X23&lt;&gt;"Dim",IF(SUM($U28:X28)&gt;35,(MIN(SUM($U28:X28),43)-35-SUM($U30:W30)),0),0)</f>
        <v>0</v>
      </c>
      <c r="Y30" s="66">
        <f>IF(Y23&lt;&gt;"Dim",IF(SUM($U28:Y28)&gt;35,(MIN(SUM($U28:Y28),43)-35-SUM($U30:X30)),0),0)</f>
        <v>0</v>
      </c>
      <c r="Z30" s="66">
        <f>IF(Z23&lt;&gt;"Dim",IF(SUM($U28:Z28)&gt;35,(MIN(SUM($U28:Z28),43)-35-SUM($U30:Y30)),0),0)</f>
        <v>0</v>
      </c>
      <c r="AA30" s="66">
        <f>IF(AA23&lt;&gt;"Dim",IF(SUM($U28:AA28)&gt;35,(MIN(SUM($U28:AA28),43)-35-SUM($U30:Z30)),0),0)</f>
        <v>0</v>
      </c>
      <c r="AB30" s="60">
        <f t="shared" si="42"/>
        <v>0</v>
      </c>
      <c r="AC30" s="60"/>
      <c r="AD30" s="66">
        <f>IF(AD23&lt;&gt;"Dim",IF(AD28&gt;35,(MIN(AD28,43)-35),0),0)</f>
        <v>0</v>
      </c>
      <c r="AE30" s="66">
        <f>IF(AE23&lt;&gt;"Dim",IF(SUM($AD28:AE28)&gt;35,(MIN(SUM($AD28:AE28),43)-35-SUM($AD30:AD30)),0),0)</f>
        <v>0</v>
      </c>
      <c r="AF30" s="66">
        <f>IF(AF23&lt;&gt;"Dim",IF(SUM($AD28:AF28)&gt;35,(MIN(SUM($AD28:AF28),43)-35-SUM($AD30:AE30)),0),0)</f>
        <v>0</v>
      </c>
      <c r="AG30" s="66">
        <f>IF(AG23&lt;&gt;"Dim",IF(SUM($AD28:AG28)&gt;35,(MIN(SUM($AD28:AG28),43)-35-SUM($AD30:AF30)),0),0)</f>
        <v>0</v>
      </c>
      <c r="AH30" s="66">
        <f>IF(AH23&lt;&gt;"Dim",IF(SUM($AD28:AH28)&gt;35,(MIN(SUM($AD28:AH28),43)-35-SUM($AD30:AG30)),0),0)</f>
        <v>0</v>
      </c>
      <c r="AI30" s="66">
        <f>IF(AI23&lt;&gt;"Dim",IF(SUM($AD28:AI28)&gt;35,(MIN(SUM($AD28:AI28),43)-35-SUM($AD30:AH30)),0),0)</f>
        <v>0</v>
      </c>
      <c r="AJ30" s="66">
        <f>IF(AJ23&lt;&gt;"Dim",IF(SUM($AD28:AJ28)&gt;35,(MIN(SUM($AD28:AJ28),43)-35-SUM($AD30:AI30)),0),0)</f>
        <v>0</v>
      </c>
      <c r="AK30" s="60">
        <f t="shared" si="44"/>
        <v>0</v>
      </c>
      <c r="AL30" s="60"/>
      <c r="AM30" s="66">
        <f>IF(AM23&lt;&gt;"Dim",IF(AM28&gt;35,(MIN(AM28,43)-35),0),0)</f>
        <v>0</v>
      </c>
      <c r="AN30" s="66">
        <f>IF(AN23&lt;&gt;"Dim",IF(SUM($AM28:AN28)&gt;35,(MIN(SUM($AM28:AN28),43)-35-SUM($AM30:AM30)),0),0)</f>
        <v>0</v>
      </c>
      <c r="AO30" s="66">
        <f>IF(AO23&lt;&gt;"Dim",IF(SUM($AM28:AO28)&gt;35,(MIN(SUM($AM28:AO28),43)-35-SUM($AM30:AN30)),0),0)</f>
        <v>0</v>
      </c>
      <c r="AP30" s="66">
        <f>IF(AP23&lt;&gt;"Dim",IF(SUM($AM28:AP28)&gt;35,(MIN(SUM($AM28:AP28),43)-35-SUM($AM30:AO30)),0),0)</f>
        <v>0</v>
      </c>
      <c r="AQ30" s="66">
        <f>IF(AQ23&lt;&gt;"Dim",IF(SUM($AM28:AQ28)&gt;35,(MIN(SUM($AM28:AQ28),43)-35-SUM($AM30:AP30)),0),0)</f>
        <v>0</v>
      </c>
      <c r="AR30" s="66">
        <f>IF(AR23&lt;&gt;"Dim",IF(SUM($AM28:AR28)&gt;35,(MIN(SUM($AM28:AR28),43)-35-SUM($AM30:AQ30)),0),0)</f>
        <v>0</v>
      </c>
      <c r="AS30" s="66">
        <f>IF(AS23&lt;&gt;"Dim",IF(SUM($AM28:AS28)&gt;35,(MIN(SUM($AM28:AS28),43)-35-SUM($AM30:AR30)),0),0)</f>
        <v>0</v>
      </c>
      <c r="AT30" s="60">
        <f t="shared" si="46"/>
        <v>0</v>
      </c>
      <c r="AU30" s="60"/>
      <c r="AV30" s="66">
        <f>IF(AV23&lt;&gt;"Dim",IF(AV28&gt;35,(MIN(AV28,43)-35),0),0)</f>
        <v>0</v>
      </c>
      <c r="AW30" s="66">
        <f>IF(AW23&lt;&gt;"Dim",IF(SUM($AV28:AW28)&gt;35,(MIN(SUM($AV28:AW28),43)-35-SUM($AV30:AV30)),0),0)</f>
        <v>0</v>
      </c>
      <c r="AX30" s="60">
        <f t="shared" si="36"/>
        <v>0</v>
      </c>
      <c r="AY30" s="60">
        <f t="shared" si="48"/>
        <v>0</v>
      </c>
      <c r="AZ30" s="52"/>
      <c r="BA30" s="52"/>
      <c r="BB30" s="52"/>
      <c r="BC30" s="52"/>
      <c r="BD30" s="52"/>
      <c r="BE30" s="52"/>
      <c r="BF30" s="35"/>
    </row>
    <row r="31" spans="1:59" s="8" customFormat="1" ht="15" customHeight="1" x14ac:dyDescent="0.25">
      <c r="A31" s="21" t="s">
        <v>5</v>
      </c>
      <c r="B31" s="81"/>
      <c r="C31" s="66">
        <f>IF(C23&lt;&gt;"Dim",IF(C28&gt;43,(MIN(C28,48)-43),0),0)</f>
        <v>0</v>
      </c>
      <c r="D31" s="66">
        <f>IF(D23&lt;&gt;"Dim",IF(SUM($C28:D28)&gt;43,(MIN(SUM($C28:D28),48)-43-SUM($C31:C31)),0),0)</f>
        <v>0</v>
      </c>
      <c r="E31" s="66">
        <f>IF(E23&lt;&gt;"Dim",IF(SUM($C28:E28)&gt;43,(MIN(SUM($C28:E28),48)-43-SUM($C31:D31)),0),0)</f>
        <v>0</v>
      </c>
      <c r="F31" s="66">
        <f>IF(F23&lt;&gt;"Dim",IF(SUM($C28:F28)&gt;43,(MIN(SUM($C28:F28),48)-43-SUM($C31:E31)),0),0)</f>
        <v>0</v>
      </c>
      <c r="G31" s="66">
        <f>IF(G23&lt;&gt;"Dim",IF(SUM($C28:G28)&gt;43,(MIN(SUM($C28:G28),48)-43-SUM($C31:F31)),0),0)</f>
        <v>0</v>
      </c>
      <c r="H31" s="66">
        <f>IF(H23&lt;&gt;"Dim",IF(SUM($C28:H28)&gt;43,(MIN(SUM($C28:H28),48)-43-SUM($C31:G31)),0),0)</f>
        <v>0</v>
      </c>
      <c r="I31" s="66">
        <f>IF(I23&lt;&gt;"Dim",IF(SUM($C28:I28)&gt;43,(MIN(SUM($C28:I28),48)-43-SUM($C31:H31)),0),0)</f>
        <v>0</v>
      </c>
      <c r="J31" s="60">
        <f t="shared" si="38"/>
        <v>0</v>
      </c>
      <c r="K31" s="60"/>
      <c r="L31" s="66">
        <f>IF(L23&lt;&gt;"Dim",IF(L28&gt;43,(MIN(L28,48)-43),0),0)</f>
        <v>0</v>
      </c>
      <c r="M31" s="66">
        <f>IF(M23&lt;&gt;"Dim",IF(SUM($L28:M28)&gt;43,(MIN(SUM($L28:M28),48)-43-SUM($L31:L31)),0),0)</f>
        <v>0</v>
      </c>
      <c r="N31" s="66">
        <f>IF(N23&lt;&gt;"Dim",IF(SUM($L28:N28)&gt;43,(MIN(SUM($L28:N28),48)-43-SUM($L31:M31)),0),0)</f>
        <v>0</v>
      </c>
      <c r="O31" s="66">
        <f>IF(O23&lt;&gt;"Dim",IF(SUM($L28:O28)&gt;43,(MIN(SUM($L28:O28),48)-43-SUM($L31:N31)),0),0)</f>
        <v>0</v>
      </c>
      <c r="P31" s="66">
        <f>IF(P23&lt;&gt;"Dim",IF(SUM($L28:P28)&gt;43,(MIN(SUM($L28:P28),48)-43-SUM($L31:O31)),0),0)</f>
        <v>0</v>
      </c>
      <c r="Q31" s="66">
        <f>IF(Q23&lt;&gt;"Dim",IF(SUM($L28:Q28)&gt;43,(MIN(SUM($L28:Q28),48)-43-SUM($L31:P31)),0),0)</f>
        <v>0</v>
      </c>
      <c r="R31" s="66">
        <f>IF(R23&lt;&gt;"Dim",IF(SUM($L28:R28)&gt;43,(MIN(SUM($L28:R28),48)-43-SUM($L31:Q31)),0),0)</f>
        <v>0</v>
      </c>
      <c r="S31" s="60">
        <f t="shared" si="40"/>
        <v>0</v>
      </c>
      <c r="T31" s="60"/>
      <c r="U31" s="66">
        <f>IF(U23&lt;&gt;"Dim",IF(U28&gt;43,(MIN(U28,48)-43),0),0)</f>
        <v>0</v>
      </c>
      <c r="V31" s="66">
        <f>IF(V23&lt;&gt;"Dim",IF(SUM($U28:V28)&gt;43,(MIN(SUM($U28:V28),48)-43-SUM($U31:U31)),0),0)</f>
        <v>0</v>
      </c>
      <c r="W31" s="66">
        <f>IF(W23&lt;&gt;"Dim",IF(SUM($U28:W28)&gt;43,(MIN(SUM($U28:W28),48)-43-SUM($U31:V31)),0),0)</f>
        <v>0</v>
      </c>
      <c r="X31" s="66">
        <f>IF(X23&lt;&gt;"Dim",IF(SUM($U28:X28)&gt;43,(MIN(SUM($U28:X28),48)-43-SUM($U31:W31)),0),0)</f>
        <v>0</v>
      </c>
      <c r="Y31" s="66">
        <f>IF(Y23&lt;&gt;"Dim",IF(SUM($U28:Y28)&gt;43,(MIN(SUM($U28:Y28),48)-43-SUM($U31:X31)),0),0)</f>
        <v>0</v>
      </c>
      <c r="Z31" s="66">
        <f>IF(Z23&lt;&gt;"Dim",IF(SUM($U28:Z28)&gt;43,(MIN(SUM($U28:Z28),48)-43-SUM($U31:Y31)),0),0)</f>
        <v>0</v>
      </c>
      <c r="AA31" s="66">
        <f>IF(AA23&lt;&gt;"Dim",IF(SUM($U28:AA28)&gt;43,(MIN(SUM($U28:AA28),48)-43-SUM($U31:Z31)),0),0)</f>
        <v>0</v>
      </c>
      <c r="AB31" s="60">
        <f t="shared" si="42"/>
        <v>0</v>
      </c>
      <c r="AC31" s="60"/>
      <c r="AD31" s="66">
        <f>IF(AD23&lt;&gt;"Dim",IF(AD28&gt;43,(MIN(AD28,48)-43),0),0)</f>
        <v>0</v>
      </c>
      <c r="AE31" s="66">
        <f>IF(AE23&lt;&gt;"Dim",IF(SUM($AD28:AE28)&gt;43,(MIN(SUM($AD28:AE28),48)-43-SUM($AD31:AD31)),0),0)</f>
        <v>0</v>
      </c>
      <c r="AF31" s="66">
        <f>IF(AF23&lt;&gt;"Dim",IF(SUM($AD28:AF28)&gt;43,(MIN(SUM($AD28:AF28),48)-43-SUM($AD31:AE31)),0),0)</f>
        <v>0</v>
      </c>
      <c r="AG31" s="66">
        <f>IF(AG23&lt;&gt;"Dim",IF(SUM($AD28:AG28)&gt;43,(MIN(SUM($AD28:AG28),48)-43-SUM($AD31:AF31)),0),0)</f>
        <v>0</v>
      </c>
      <c r="AH31" s="66">
        <f>IF(AH23&lt;&gt;"Dim",IF(SUM($AD28:AH28)&gt;43,(MIN(SUM($AD28:AH28),48)-43-SUM($AD31:AG31)),0),0)</f>
        <v>0</v>
      </c>
      <c r="AI31" s="66">
        <f>IF(AI23&lt;&gt;"Dim",IF(SUM($AD28:AI28)&gt;43,(MIN(SUM($AD28:AI28),48)-43-SUM($AD31:AH31)),0),0)</f>
        <v>0</v>
      </c>
      <c r="AJ31" s="66">
        <f>IF(AJ23&lt;&gt;"Dim",IF(SUM($AD28:AJ28)&gt;43,(MIN(SUM($AD28:AJ28),48)-43-SUM($AD31:AI31)),0),0)</f>
        <v>0</v>
      </c>
      <c r="AK31" s="60">
        <f t="shared" si="44"/>
        <v>0</v>
      </c>
      <c r="AL31" s="60"/>
      <c r="AM31" s="66">
        <f>IF(AM23&lt;&gt;"Dim",IF(AM28&gt;43,(MIN(AM28,48)-43),0),0)</f>
        <v>0</v>
      </c>
      <c r="AN31" s="66">
        <f>IF(AN23&lt;&gt;"Dim",IF(SUM($AM28:AN28)&gt;43,(MIN(SUM($AM28:AN28),48)-43-SUM($AM31:AM31)),0),0)</f>
        <v>0</v>
      </c>
      <c r="AO31" s="66">
        <f>IF(AO23&lt;&gt;"Dim",IF(SUM($AM28:AO28)&gt;43,(MIN(SUM($AM28:AO28),48)-43-SUM($AM31:AN31)),0),0)</f>
        <v>0</v>
      </c>
      <c r="AP31" s="66">
        <f>IF(AP23&lt;&gt;"Dim",IF(SUM($AM28:AP28)&gt;43,(MIN(SUM($AM28:AP28),48)-43-SUM($AM31:AO31)),0),0)</f>
        <v>0</v>
      </c>
      <c r="AQ31" s="66">
        <f>IF(AQ23&lt;&gt;"Dim",IF(SUM($AM28:AQ28)&gt;43,(MIN(SUM($AM28:AQ28),48)-43-SUM($AM31:AP31)),0),0)</f>
        <v>0</v>
      </c>
      <c r="AR31" s="66">
        <f>IF(AR23&lt;&gt;"Dim",IF(SUM($AM28:AR28)&gt;43,(MIN(SUM($AM28:AR28),48)-43-SUM($AM31:AQ31)),0),0)</f>
        <v>0</v>
      </c>
      <c r="AS31" s="66">
        <f>IF(AS23&lt;&gt;"Dim",IF(SUM($AM28:AS28)&gt;43,(MIN(SUM($AM28:AS28),48)-43-SUM($AM31:AR31)),0),0)</f>
        <v>0</v>
      </c>
      <c r="AT31" s="60">
        <f t="shared" si="46"/>
        <v>0</v>
      </c>
      <c r="AU31" s="60"/>
      <c r="AV31" s="66">
        <f>IF(AV23&lt;&gt;"Dim",IF(AV28&gt;43,(MIN(AV28,48)-43),0),0)</f>
        <v>0</v>
      </c>
      <c r="AW31" s="66">
        <f>IF(AW23&lt;&gt;"Dim",IF(SUM($AV28:AW28)&gt;43,(MIN(SUM($AV28:AW28),48)-43-SUM($AV31:AV31)),0),0)</f>
        <v>0</v>
      </c>
      <c r="AX31" s="60">
        <f t="shared" si="36"/>
        <v>0</v>
      </c>
      <c r="AY31" s="60">
        <f t="shared" si="48"/>
        <v>0</v>
      </c>
      <c r="AZ31" s="52"/>
      <c r="BA31" s="52"/>
      <c r="BB31" s="52"/>
      <c r="BC31" s="52"/>
      <c r="BD31" s="52"/>
      <c r="BE31" s="52"/>
      <c r="BF31" s="35"/>
    </row>
    <row r="32" spans="1:59" s="8" customFormat="1" ht="15" customHeight="1" x14ac:dyDescent="0.25">
      <c r="A32" s="21" t="s">
        <v>7</v>
      </c>
      <c r="B32" s="81"/>
      <c r="C32" s="66">
        <f>IF(C23="Dim",C28,IF(C38="ferie",C28,0))</f>
        <v>0</v>
      </c>
      <c r="D32" s="66">
        <f t="shared" ref="D32:I32" si="49">IF(D23="Dim",D28,IF(D38="ferie",D28,0))</f>
        <v>0</v>
      </c>
      <c r="E32" s="66">
        <f t="shared" si="49"/>
        <v>0</v>
      </c>
      <c r="F32" s="66">
        <f t="shared" si="49"/>
        <v>0</v>
      </c>
      <c r="G32" s="66">
        <f t="shared" si="49"/>
        <v>0</v>
      </c>
      <c r="H32" s="66">
        <f t="shared" si="49"/>
        <v>0</v>
      </c>
      <c r="I32" s="66">
        <f t="shared" si="49"/>
        <v>0</v>
      </c>
      <c r="J32" s="60">
        <f t="shared" si="38"/>
        <v>0</v>
      </c>
      <c r="K32" s="60"/>
      <c r="L32" s="66">
        <f>IF(L23="Dim",L28,IF(L38="ferie",L28,0))</f>
        <v>0</v>
      </c>
      <c r="M32" s="66">
        <f t="shared" ref="M32:R32" si="50">IF(M23="Dim",M28,IF(M38="ferie",M28,0))</f>
        <v>0</v>
      </c>
      <c r="N32" s="66">
        <f t="shared" si="50"/>
        <v>0</v>
      </c>
      <c r="O32" s="66">
        <f t="shared" si="50"/>
        <v>0</v>
      </c>
      <c r="P32" s="66">
        <f t="shared" si="50"/>
        <v>0</v>
      </c>
      <c r="Q32" s="66">
        <f>IF(Q23="Dim",Q28,IF(Q38="ferie",Q28,0))</f>
        <v>0</v>
      </c>
      <c r="R32" s="66">
        <f t="shared" si="50"/>
        <v>0</v>
      </c>
      <c r="S32" s="60">
        <f t="shared" si="40"/>
        <v>0</v>
      </c>
      <c r="T32" s="60"/>
      <c r="U32" s="66">
        <f>IF(U23="Dim",U28,IF(U38="ferie",U28,0))</f>
        <v>0</v>
      </c>
      <c r="V32" s="66">
        <f t="shared" ref="V32:AA32" si="51">IF(V23="Dim",V28,IF(V38="ferie",V28,0))</f>
        <v>0</v>
      </c>
      <c r="W32" s="66">
        <f t="shared" si="51"/>
        <v>0</v>
      </c>
      <c r="X32" s="66">
        <f t="shared" si="51"/>
        <v>0</v>
      </c>
      <c r="Y32" s="66">
        <f t="shared" si="51"/>
        <v>0</v>
      </c>
      <c r="Z32" s="66">
        <f t="shared" si="51"/>
        <v>0</v>
      </c>
      <c r="AA32" s="66">
        <f t="shared" si="51"/>
        <v>0</v>
      </c>
      <c r="AB32" s="60">
        <f t="shared" si="42"/>
        <v>0</v>
      </c>
      <c r="AC32" s="60"/>
      <c r="AD32" s="66">
        <f>IF(AD23="Dim",AD28,IF(AD38="ferie",AD28,0))</f>
        <v>0</v>
      </c>
      <c r="AE32" s="66">
        <f t="shared" ref="AE32:AJ32" si="52">IF(AE23="Dim",AE28,IF(AE38="ferie",AE28,0))</f>
        <v>0</v>
      </c>
      <c r="AF32" s="66">
        <f t="shared" si="52"/>
        <v>0</v>
      </c>
      <c r="AG32" s="66">
        <f t="shared" si="52"/>
        <v>0</v>
      </c>
      <c r="AH32" s="66">
        <f t="shared" si="52"/>
        <v>0</v>
      </c>
      <c r="AI32" s="66">
        <f t="shared" si="52"/>
        <v>0</v>
      </c>
      <c r="AJ32" s="66">
        <f t="shared" si="52"/>
        <v>0</v>
      </c>
      <c r="AK32" s="60">
        <f t="shared" si="44"/>
        <v>0</v>
      </c>
      <c r="AL32" s="60"/>
      <c r="AM32" s="66">
        <f>IF(AM23="Dim",AM28,IF(AM38="ferie",AM28,0))</f>
        <v>0</v>
      </c>
      <c r="AN32" s="66">
        <f t="shared" ref="AN32:AW32" si="53">IF(AN23="Dim",AN28,IF(AN38="ferie",AN28,0))</f>
        <v>0</v>
      </c>
      <c r="AO32" s="66">
        <f t="shared" si="53"/>
        <v>0</v>
      </c>
      <c r="AP32" s="66">
        <f t="shared" si="53"/>
        <v>0</v>
      </c>
      <c r="AQ32" s="66">
        <f t="shared" si="53"/>
        <v>0</v>
      </c>
      <c r="AR32" s="66">
        <f t="shared" si="53"/>
        <v>0</v>
      </c>
      <c r="AS32" s="66">
        <f t="shared" si="53"/>
        <v>0</v>
      </c>
      <c r="AT32" s="60">
        <f>SUM(AM32:AS32)</f>
        <v>0</v>
      </c>
      <c r="AU32" s="60"/>
      <c r="AV32" s="66">
        <f>IF(AV23="Dim",AV28,IF(AV38="ferie",AV28,0))</f>
        <v>0</v>
      </c>
      <c r="AW32" s="66">
        <f t="shared" si="53"/>
        <v>0</v>
      </c>
      <c r="AX32" s="60">
        <f>SUM(AV32:AW32)</f>
        <v>0</v>
      </c>
      <c r="AY32" s="60">
        <f t="shared" si="48"/>
        <v>0</v>
      </c>
      <c r="AZ32" s="52"/>
      <c r="BA32" s="52"/>
      <c r="BB32" s="52"/>
      <c r="BC32" s="52"/>
      <c r="BD32" s="52"/>
      <c r="BE32" s="52"/>
      <c r="BF32" s="35"/>
    </row>
    <row r="33" spans="1:59" s="8" customFormat="1" ht="15" customHeight="1" x14ac:dyDescent="0.25">
      <c r="A33" s="21" t="s">
        <v>8</v>
      </c>
      <c r="B33" s="81"/>
      <c r="C33" s="31"/>
      <c r="D33" s="31"/>
      <c r="E33" s="31"/>
      <c r="F33" s="31"/>
      <c r="G33" s="31"/>
      <c r="H33" s="31"/>
      <c r="I33" s="31"/>
      <c r="J33" s="60">
        <f t="shared" si="38"/>
        <v>0</v>
      </c>
      <c r="K33" s="60"/>
      <c r="L33" s="31"/>
      <c r="M33" s="31"/>
      <c r="N33" s="31"/>
      <c r="O33" s="31"/>
      <c r="P33" s="31"/>
      <c r="Q33" s="31"/>
      <c r="R33" s="31"/>
      <c r="S33" s="60">
        <f t="shared" si="40"/>
        <v>0</v>
      </c>
      <c r="T33" s="60"/>
      <c r="U33" s="31"/>
      <c r="V33" s="31"/>
      <c r="W33" s="31"/>
      <c r="X33" s="31"/>
      <c r="Y33" s="31"/>
      <c r="Z33" s="31"/>
      <c r="AA33" s="31"/>
      <c r="AB33" s="60">
        <f t="shared" si="42"/>
        <v>0</v>
      </c>
      <c r="AC33" s="60"/>
      <c r="AD33" s="31"/>
      <c r="AE33" s="31"/>
      <c r="AF33" s="31"/>
      <c r="AG33" s="31"/>
      <c r="AH33" s="31"/>
      <c r="AI33" s="31"/>
      <c r="AJ33" s="31"/>
      <c r="AK33" s="60">
        <f t="shared" si="44"/>
        <v>0</v>
      </c>
      <c r="AL33" s="60"/>
      <c r="AM33" s="31"/>
      <c r="AN33" s="31"/>
      <c r="AO33" s="31"/>
      <c r="AP33" s="31"/>
      <c r="AQ33" s="31"/>
      <c r="AR33" s="31"/>
      <c r="AS33" s="31"/>
      <c r="AT33" s="60">
        <f t="shared" si="46"/>
        <v>0</v>
      </c>
      <c r="AU33" s="60"/>
      <c r="AV33" s="31"/>
      <c r="AW33" s="31"/>
      <c r="AX33" s="60">
        <f t="shared" si="36"/>
        <v>0</v>
      </c>
      <c r="AY33" s="60">
        <f t="shared" si="48"/>
        <v>0</v>
      </c>
      <c r="AZ33" s="52"/>
      <c r="BA33" s="52"/>
      <c r="BB33" s="52"/>
      <c r="BC33" s="52"/>
      <c r="BD33" s="52"/>
      <c r="BE33" s="52"/>
      <c r="BF33" s="35"/>
    </row>
    <row r="34" spans="1:59" s="8" customFormat="1" ht="15" customHeight="1" x14ac:dyDescent="0.25">
      <c r="A34" s="36" t="s">
        <v>9</v>
      </c>
      <c r="B34" s="82"/>
      <c r="C34" s="31"/>
      <c r="D34" s="31"/>
      <c r="E34" s="31"/>
      <c r="F34" s="31"/>
      <c r="G34" s="31"/>
      <c r="H34" s="31"/>
      <c r="I34" s="31"/>
      <c r="J34" s="60">
        <f t="shared" si="38"/>
        <v>0</v>
      </c>
      <c r="K34" s="60"/>
      <c r="L34" s="31"/>
      <c r="M34" s="31"/>
      <c r="N34" s="31"/>
      <c r="O34" s="31"/>
      <c r="P34" s="31"/>
      <c r="Q34" s="31"/>
      <c r="R34" s="31"/>
      <c r="S34" s="60">
        <f t="shared" si="40"/>
        <v>0</v>
      </c>
      <c r="T34" s="60"/>
      <c r="U34" s="31"/>
      <c r="V34" s="31"/>
      <c r="W34" s="31"/>
      <c r="X34" s="31"/>
      <c r="Y34" s="31"/>
      <c r="Z34" s="31"/>
      <c r="AA34" s="31"/>
      <c r="AB34" s="60">
        <f t="shared" si="42"/>
        <v>0</v>
      </c>
      <c r="AC34" s="60"/>
      <c r="AD34" s="31"/>
      <c r="AE34" s="31"/>
      <c r="AF34" s="31"/>
      <c r="AG34" s="31"/>
      <c r="AH34" s="31"/>
      <c r="AI34" s="31"/>
      <c r="AJ34" s="31"/>
      <c r="AK34" s="60">
        <f t="shared" si="44"/>
        <v>0</v>
      </c>
      <c r="AL34" s="60"/>
      <c r="AM34" s="31"/>
      <c r="AN34" s="31"/>
      <c r="AO34" s="31"/>
      <c r="AP34" s="31"/>
      <c r="AQ34" s="31"/>
      <c r="AR34" s="31"/>
      <c r="AS34" s="31"/>
      <c r="AT34" s="60">
        <f t="shared" si="46"/>
        <v>0</v>
      </c>
      <c r="AU34" s="60"/>
      <c r="AV34" s="31"/>
      <c r="AW34" s="31"/>
      <c r="AX34" s="60">
        <f t="shared" ref="AX34:AX36" si="54">SUM(AV34:AW34)</f>
        <v>0</v>
      </c>
      <c r="AY34" s="60">
        <f t="shared" si="48"/>
        <v>0</v>
      </c>
      <c r="AZ34" s="53"/>
      <c r="BA34" s="53"/>
      <c r="BB34" s="53"/>
      <c r="BC34" s="53"/>
      <c r="BD34" s="42"/>
      <c r="BE34" s="42"/>
      <c r="BF34" s="32"/>
    </row>
    <row r="35" spans="1:59" s="7" customFormat="1" ht="15" customHeight="1" x14ac:dyDescent="0.25">
      <c r="A35" s="21" t="s">
        <v>11</v>
      </c>
      <c r="B35" s="81"/>
      <c r="C35" s="31"/>
      <c r="D35" s="31"/>
      <c r="E35" s="31"/>
      <c r="F35" s="31"/>
      <c r="G35" s="31"/>
      <c r="H35" s="31"/>
      <c r="I35" s="31"/>
      <c r="J35" s="60">
        <f t="shared" si="38"/>
        <v>0</v>
      </c>
      <c r="K35" s="60"/>
      <c r="L35" s="31"/>
      <c r="M35" s="31"/>
      <c r="N35" s="31"/>
      <c r="O35" s="31"/>
      <c r="P35" s="31"/>
      <c r="Q35" s="31"/>
      <c r="R35" s="31"/>
      <c r="S35" s="60">
        <f t="shared" si="40"/>
        <v>0</v>
      </c>
      <c r="T35" s="60"/>
      <c r="U35" s="31"/>
      <c r="V35" s="31"/>
      <c r="W35" s="31"/>
      <c r="X35" s="31"/>
      <c r="Y35" s="31"/>
      <c r="Z35" s="31"/>
      <c r="AA35" s="31"/>
      <c r="AB35" s="60">
        <f t="shared" si="42"/>
        <v>0</v>
      </c>
      <c r="AC35" s="60"/>
      <c r="AD35" s="31"/>
      <c r="AE35" s="31"/>
      <c r="AF35" s="31"/>
      <c r="AG35" s="31"/>
      <c r="AH35" s="31"/>
      <c r="AI35" s="31"/>
      <c r="AJ35" s="31"/>
      <c r="AK35" s="60">
        <f t="shared" si="44"/>
        <v>0</v>
      </c>
      <c r="AL35" s="60"/>
      <c r="AM35" s="31"/>
      <c r="AN35" s="31"/>
      <c r="AO35" s="31"/>
      <c r="AP35" s="31"/>
      <c r="AQ35" s="31"/>
      <c r="AR35" s="31"/>
      <c r="AS35" s="31"/>
      <c r="AT35" s="60">
        <f t="shared" si="46"/>
        <v>0</v>
      </c>
      <c r="AU35" s="60"/>
      <c r="AV35" s="31"/>
      <c r="AW35" s="31"/>
      <c r="AX35" s="60">
        <f t="shared" si="54"/>
        <v>0</v>
      </c>
      <c r="AY35" s="60">
        <f t="shared" si="48"/>
        <v>0</v>
      </c>
      <c r="AZ35" s="40"/>
      <c r="BA35" s="40"/>
      <c r="BB35" s="40"/>
      <c r="BC35" s="40"/>
      <c r="BD35" s="40"/>
      <c r="BE35" s="40"/>
      <c r="BF35" s="29"/>
    </row>
    <row r="36" spans="1:59" s="7" customFormat="1" ht="15" customHeight="1" x14ac:dyDescent="0.25">
      <c r="A36" s="36" t="s">
        <v>10</v>
      </c>
      <c r="B36" s="82"/>
      <c r="C36" s="31"/>
      <c r="D36" s="31"/>
      <c r="E36" s="31"/>
      <c r="F36" s="31"/>
      <c r="G36" s="31"/>
      <c r="H36" s="31"/>
      <c r="I36" s="31"/>
      <c r="J36" s="60">
        <f t="shared" si="38"/>
        <v>0</v>
      </c>
      <c r="K36" s="60"/>
      <c r="L36" s="31"/>
      <c r="M36" s="31"/>
      <c r="N36" s="31"/>
      <c r="O36" s="31"/>
      <c r="P36" s="31"/>
      <c r="Q36" s="31"/>
      <c r="R36" s="31"/>
      <c r="S36" s="60">
        <f t="shared" si="40"/>
        <v>0</v>
      </c>
      <c r="T36" s="60"/>
      <c r="U36" s="31"/>
      <c r="V36" s="31"/>
      <c r="W36" s="31"/>
      <c r="X36" s="31"/>
      <c r="Y36" s="31"/>
      <c r="Z36" s="31"/>
      <c r="AA36" s="31"/>
      <c r="AB36" s="60">
        <f t="shared" si="42"/>
        <v>0</v>
      </c>
      <c r="AC36" s="60"/>
      <c r="AD36" s="31"/>
      <c r="AE36" s="31"/>
      <c r="AF36" s="31"/>
      <c r="AG36" s="31"/>
      <c r="AH36" s="31"/>
      <c r="AI36" s="31"/>
      <c r="AJ36" s="31"/>
      <c r="AK36" s="60">
        <f t="shared" si="44"/>
        <v>0</v>
      </c>
      <c r="AL36" s="60"/>
      <c r="AM36" s="31"/>
      <c r="AN36" s="31"/>
      <c r="AO36" s="31"/>
      <c r="AP36" s="31"/>
      <c r="AQ36" s="31"/>
      <c r="AR36" s="31"/>
      <c r="AS36" s="31"/>
      <c r="AT36" s="60">
        <f t="shared" si="46"/>
        <v>0</v>
      </c>
      <c r="AU36" s="60"/>
      <c r="AV36" s="31"/>
      <c r="AW36" s="31"/>
      <c r="AX36" s="60">
        <f t="shared" si="54"/>
        <v>0</v>
      </c>
      <c r="AY36" s="60">
        <f t="shared" si="48"/>
        <v>0</v>
      </c>
      <c r="AZ36" s="40"/>
      <c r="BA36" s="40"/>
      <c r="BB36" s="40"/>
      <c r="BC36" s="40"/>
      <c r="BD36" s="40"/>
      <c r="BE36" s="40"/>
      <c r="BF36" s="29"/>
    </row>
    <row r="37" spans="1:59" s="33" customFormat="1" ht="15" customHeight="1" x14ac:dyDescent="0.25">
      <c r="A37" s="36" t="s">
        <v>44</v>
      </c>
      <c r="B37" s="82"/>
      <c r="C37" s="60">
        <f>IF(C25="nuit",C28*0.02,0)</f>
        <v>0</v>
      </c>
      <c r="D37" s="60">
        <f>IF(D25="nuit",D28*0.02,0)</f>
        <v>0</v>
      </c>
      <c r="E37" s="60">
        <f t="shared" ref="E37:I37" si="55">IF(E25="nuit",E28*0.02,0)</f>
        <v>0</v>
      </c>
      <c r="F37" s="60">
        <f t="shared" si="55"/>
        <v>0</v>
      </c>
      <c r="G37" s="60">
        <f>IF(G25="nuit",G28*0.02,0)</f>
        <v>0</v>
      </c>
      <c r="H37" s="60">
        <f t="shared" si="55"/>
        <v>0</v>
      </c>
      <c r="I37" s="60">
        <f t="shared" si="55"/>
        <v>0</v>
      </c>
      <c r="J37" s="60">
        <f t="shared" si="38"/>
        <v>0</v>
      </c>
      <c r="K37" s="60"/>
      <c r="L37" s="60">
        <f>IF(L25="nuit",L28*0.02,0)</f>
        <v>0</v>
      </c>
      <c r="M37" s="60">
        <f>IF(M25="nuit",M28*0.02,0)</f>
        <v>0</v>
      </c>
      <c r="N37" s="60">
        <f t="shared" ref="N37:R37" si="56">IF(N25="nuit",N28*0.02,0)</f>
        <v>0</v>
      </c>
      <c r="O37" s="60">
        <f t="shared" si="56"/>
        <v>0</v>
      </c>
      <c r="P37" s="60">
        <f>IF(P25="nuit",P28*0.02,0)</f>
        <v>0</v>
      </c>
      <c r="Q37" s="60">
        <f t="shared" si="56"/>
        <v>0</v>
      </c>
      <c r="R37" s="60">
        <f t="shared" si="56"/>
        <v>0</v>
      </c>
      <c r="S37" s="60">
        <f t="shared" si="40"/>
        <v>0</v>
      </c>
      <c r="T37" s="60"/>
      <c r="U37" s="60">
        <f>IF(U25="nuit",U28*0.02,0)</f>
        <v>0</v>
      </c>
      <c r="V37" s="60">
        <f>IF(V25="nuit",V28*0.02,0)</f>
        <v>0</v>
      </c>
      <c r="W37" s="60">
        <f t="shared" ref="W37:AA37" si="57">IF(W25="nuit",W28*0.02,0)</f>
        <v>0</v>
      </c>
      <c r="X37" s="60">
        <f t="shared" si="57"/>
        <v>0</v>
      </c>
      <c r="Y37" s="60">
        <f>IF(Y25="nuit",Y28*0.02,0)</f>
        <v>0</v>
      </c>
      <c r="Z37" s="60">
        <f t="shared" si="57"/>
        <v>0</v>
      </c>
      <c r="AA37" s="60">
        <f t="shared" si="57"/>
        <v>0</v>
      </c>
      <c r="AB37" s="60">
        <f t="shared" si="42"/>
        <v>0</v>
      </c>
      <c r="AC37" s="60"/>
      <c r="AD37" s="60">
        <f>IF(AD25="nuit",AD28*0.02,0)</f>
        <v>0</v>
      </c>
      <c r="AE37" s="60">
        <f>IF(AE25="nuit",AE28*0.02,0)</f>
        <v>0</v>
      </c>
      <c r="AF37" s="60">
        <f t="shared" ref="AF37:AJ37" si="58">IF(AF25="nuit",AF28*0.02,0)</f>
        <v>0</v>
      </c>
      <c r="AG37" s="60">
        <f t="shared" si="58"/>
        <v>0</v>
      </c>
      <c r="AH37" s="60">
        <f>IF(AH25="nuit",AH28*0.02,0)</f>
        <v>0</v>
      </c>
      <c r="AI37" s="60">
        <f t="shared" si="58"/>
        <v>0</v>
      </c>
      <c r="AJ37" s="60">
        <f t="shared" si="58"/>
        <v>0</v>
      </c>
      <c r="AK37" s="60">
        <f t="shared" si="44"/>
        <v>0</v>
      </c>
      <c r="AL37" s="60"/>
      <c r="AM37" s="60">
        <f>IF(AM25="nuit",AM28*0.02,0)</f>
        <v>0</v>
      </c>
      <c r="AN37" s="60">
        <f>IF(AN25="nuit",AN28*0.02,0)</f>
        <v>0</v>
      </c>
      <c r="AO37" s="60">
        <f t="shared" ref="AO37:AS37" si="59">IF(AO25="nuit",AO28*0.02,0)</f>
        <v>0</v>
      </c>
      <c r="AP37" s="60">
        <f t="shared" si="59"/>
        <v>0</v>
      </c>
      <c r="AQ37" s="60">
        <f>IF(AQ25="nuit",AQ28*0.02,0)</f>
        <v>0</v>
      </c>
      <c r="AR37" s="60">
        <f t="shared" si="59"/>
        <v>0</v>
      </c>
      <c r="AS37" s="60">
        <f t="shared" si="59"/>
        <v>0</v>
      </c>
      <c r="AT37" s="60">
        <f t="shared" si="46"/>
        <v>0</v>
      </c>
      <c r="AU37" s="60"/>
      <c r="AV37" s="60">
        <f>IF(AV25="nuit",AV28*0.02,0)</f>
        <v>0</v>
      </c>
      <c r="AW37" s="60">
        <f>IF(AW25="nuit",AW28*0.02,0)</f>
        <v>0</v>
      </c>
      <c r="AX37" s="60">
        <f>SUM(AV37:AW37)</f>
        <v>0</v>
      </c>
      <c r="AY37" s="60">
        <f>J37+S37+AB37+AK37+AT37+AX37</f>
        <v>0</v>
      </c>
      <c r="AZ37" s="52"/>
      <c r="BA37" s="52"/>
      <c r="BB37" s="52"/>
      <c r="BC37" s="52"/>
      <c r="BD37" s="52"/>
      <c r="BE37" s="52"/>
      <c r="BF37" s="35"/>
    </row>
    <row r="38" spans="1:59" s="7" customFormat="1" ht="15" customHeight="1" x14ac:dyDescent="0.25">
      <c r="A38" s="21" t="s">
        <v>31</v>
      </c>
      <c r="B38" s="81"/>
      <c r="C38" s="31"/>
      <c r="D38" s="31"/>
      <c r="E38" s="31"/>
      <c r="F38" s="31"/>
      <c r="G38" s="31"/>
      <c r="H38" s="37"/>
      <c r="I38" s="37"/>
      <c r="J38" s="64"/>
      <c r="K38" s="64"/>
      <c r="L38" s="37"/>
      <c r="M38" s="37"/>
      <c r="N38" s="37"/>
      <c r="O38" s="37"/>
      <c r="P38" s="37"/>
      <c r="Q38" s="37"/>
      <c r="R38" s="37"/>
      <c r="S38" s="64"/>
      <c r="T38" s="64"/>
      <c r="U38" s="37"/>
      <c r="V38" s="37"/>
      <c r="W38" s="37"/>
      <c r="X38" s="37"/>
      <c r="Y38" s="37"/>
      <c r="Z38" s="37"/>
      <c r="AA38" s="37"/>
      <c r="AB38" s="64"/>
      <c r="AC38" s="64"/>
      <c r="AD38" s="37"/>
      <c r="AE38" s="37"/>
      <c r="AF38" s="37"/>
      <c r="AG38" s="37"/>
      <c r="AH38" s="37"/>
      <c r="AI38" s="37"/>
      <c r="AJ38" s="37"/>
      <c r="AK38" s="64"/>
      <c r="AL38" s="64"/>
      <c r="AM38" s="37"/>
      <c r="AN38" s="37"/>
      <c r="AO38" s="37"/>
      <c r="AP38" s="37"/>
      <c r="AQ38" s="37"/>
      <c r="AR38" s="37"/>
      <c r="AS38" s="37"/>
      <c r="AT38" s="64"/>
      <c r="AU38" s="64"/>
      <c r="AV38" s="37"/>
      <c r="AW38" s="37"/>
      <c r="AX38" s="64"/>
      <c r="AY38" s="65"/>
      <c r="AZ38" s="31"/>
      <c r="BA38" s="31"/>
      <c r="BB38" s="31"/>
      <c r="BC38" s="31"/>
      <c r="BD38" s="31"/>
      <c r="BE38" s="31"/>
      <c r="BF38" s="41"/>
    </row>
    <row r="39" spans="1:59" s="7" customFormat="1" ht="15" customHeight="1" x14ac:dyDescent="0.25">
      <c r="A39" s="38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69"/>
      <c r="AZ39" s="46"/>
      <c r="BA39" s="46"/>
      <c r="BB39" s="46"/>
      <c r="BC39" s="46"/>
      <c r="BD39" s="46"/>
      <c r="BE39" s="46"/>
      <c r="BF39" s="35"/>
    </row>
    <row r="40" spans="1:59" s="7" customFormat="1" ht="27.6" x14ac:dyDescent="0.25">
      <c r="A40" s="21"/>
      <c r="B40" s="21"/>
      <c r="C40" s="24" t="s">
        <v>21</v>
      </c>
      <c r="D40" s="24"/>
      <c r="E40" s="24"/>
      <c r="F40" s="24"/>
      <c r="G40" s="24"/>
      <c r="H40" s="95">
        <f>Année_Calendaire</f>
        <v>2016</v>
      </c>
      <c r="I40" s="95"/>
      <c r="J40" s="88"/>
      <c r="K40" s="88"/>
      <c r="L40" s="31"/>
      <c r="M40" s="31"/>
      <c r="N40" s="31"/>
      <c r="O40" s="31"/>
      <c r="P40" s="31"/>
      <c r="Q40" s="31"/>
      <c r="R40" s="31"/>
      <c r="S40" s="88"/>
      <c r="T40" s="88"/>
      <c r="U40" s="24" t="s">
        <v>21</v>
      </c>
      <c r="V40" s="24"/>
      <c r="W40" s="24"/>
      <c r="X40" s="24"/>
      <c r="Y40" s="24"/>
      <c r="Z40" s="95">
        <f>Année_Calendaire</f>
        <v>2016</v>
      </c>
      <c r="AA40" s="95"/>
      <c r="AB40" s="88"/>
      <c r="AC40" s="88"/>
      <c r="AD40" s="31"/>
      <c r="AE40" s="31"/>
      <c r="AF40" s="31"/>
      <c r="AG40" s="31"/>
      <c r="AH40" s="31"/>
      <c r="AI40" s="31"/>
      <c r="AJ40" s="31"/>
      <c r="AK40" s="88"/>
      <c r="AL40" s="88"/>
      <c r="AM40" s="24" t="s">
        <v>21</v>
      </c>
      <c r="AN40" s="24"/>
      <c r="AO40" s="24"/>
      <c r="AP40" s="24"/>
      <c r="AQ40" s="24"/>
      <c r="AR40" s="95">
        <f>Année_Calendaire</f>
        <v>2016</v>
      </c>
      <c r="AS40" s="95"/>
      <c r="AT40" s="88"/>
      <c r="AU40" s="88"/>
      <c r="AV40" s="31"/>
      <c r="AW40" s="31"/>
      <c r="AX40" s="88"/>
      <c r="AY40" s="46"/>
      <c r="AZ40" s="46"/>
      <c r="BA40" s="46"/>
      <c r="BB40" s="46"/>
      <c r="BC40" s="46"/>
      <c r="BD40" s="46"/>
      <c r="BE40" s="46"/>
      <c r="BF40" s="35"/>
    </row>
    <row r="41" spans="1:59" s="7" customFormat="1" ht="29.25" customHeight="1" x14ac:dyDescent="0.25">
      <c r="A41" s="31"/>
      <c r="B41" s="60"/>
      <c r="C41" s="62" t="s">
        <v>13</v>
      </c>
      <c r="D41" s="62" t="s">
        <v>14</v>
      </c>
      <c r="E41" s="62" t="s">
        <v>15</v>
      </c>
      <c r="F41" s="62" t="s">
        <v>16</v>
      </c>
      <c r="G41" s="62" t="s">
        <v>17</v>
      </c>
      <c r="H41" s="62" t="s">
        <v>18</v>
      </c>
      <c r="I41" s="62" t="s">
        <v>19</v>
      </c>
      <c r="J41" s="96" t="s">
        <v>32</v>
      </c>
      <c r="K41" s="87"/>
      <c r="L41" s="62" t="s">
        <v>13</v>
      </c>
      <c r="M41" s="62" t="s">
        <v>14</v>
      </c>
      <c r="N41" s="62" t="s">
        <v>15</v>
      </c>
      <c r="O41" s="62" t="s">
        <v>16</v>
      </c>
      <c r="P41" s="62" t="s">
        <v>17</v>
      </c>
      <c r="Q41" s="62" t="s">
        <v>18</v>
      </c>
      <c r="R41" s="62" t="s">
        <v>19</v>
      </c>
      <c r="S41" s="96" t="s">
        <v>32</v>
      </c>
      <c r="T41" s="87"/>
      <c r="U41" s="62" t="s">
        <v>13</v>
      </c>
      <c r="V41" s="62" t="s">
        <v>14</v>
      </c>
      <c r="W41" s="62" t="s">
        <v>15</v>
      </c>
      <c r="X41" s="62" t="s">
        <v>16</v>
      </c>
      <c r="Y41" s="62" t="s">
        <v>17</v>
      </c>
      <c r="Z41" s="62" t="s">
        <v>18</v>
      </c>
      <c r="AA41" s="62" t="s">
        <v>19</v>
      </c>
      <c r="AB41" s="96" t="s">
        <v>32</v>
      </c>
      <c r="AC41" s="87"/>
      <c r="AD41" s="62" t="s">
        <v>13</v>
      </c>
      <c r="AE41" s="62" t="s">
        <v>14</v>
      </c>
      <c r="AF41" s="62" t="s">
        <v>15</v>
      </c>
      <c r="AG41" s="62" t="s">
        <v>16</v>
      </c>
      <c r="AH41" s="62" t="s">
        <v>17</v>
      </c>
      <c r="AI41" s="62" t="s">
        <v>18</v>
      </c>
      <c r="AJ41" s="62" t="s">
        <v>19</v>
      </c>
      <c r="AK41" s="96" t="s">
        <v>32</v>
      </c>
      <c r="AL41" s="87"/>
      <c r="AM41" s="62" t="s">
        <v>13</v>
      </c>
      <c r="AN41" s="62" t="s">
        <v>14</v>
      </c>
      <c r="AO41" s="62" t="s">
        <v>15</v>
      </c>
      <c r="AP41" s="62" t="s">
        <v>16</v>
      </c>
      <c r="AQ41" s="62" t="s">
        <v>17</v>
      </c>
      <c r="AR41" s="62" t="s">
        <v>18</v>
      </c>
      <c r="AS41" s="62" t="s">
        <v>19</v>
      </c>
      <c r="AT41" s="96" t="s">
        <v>32</v>
      </c>
      <c r="AU41" s="87"/>
      <c r="AV41" s="62" t="s">
        <v>13</v>
      </c>
      <c r="AW41" s="62" t="s">
        <v>14</v>
      </c>
      <c r="AX41" s="96" t="s">
        <v>32</v>
      </c>
      <c r="AY41" s="96" t="s">
        <v>35</v>
      </c>
      <c r="AZ41" s="97">
        <f>AY48+AY49+AY50</f>
        <v>0</v>
      </c>
      <c r="BA41" s="97">
        <f>AZ41+BA23</f>
        <v>15</v>
      </c>
      <c r="BB41" s="46"/>
      <c r="BC41" s="46"/>
      <c r="BD41" s="46"/>
      <c r="BE41" s="46"/>
      <c r="BF41" s="35"/>
    </row>
    <row r="42" spans="1:59" s="7" customFormat="1" ht="15" customHeight="1" x14ac:dyDescent="0.25">
      <c r="A42" s="48"/>
      <c r="B42" s="83"/>
      <c r="C42" s="67" t="str">
        <f>IF(DAY(Mar_Dim1)=1,"",IF(AND(YEAR(Mar_Dim1+1)=Année_Calendaire,MONTH(Mar_Dim1+1)=3),Mar_Dim1+1,""))</f>
        <v/>
      </c>
      <c r="D42" s="67">
        <f>IF(DAY(Mar_Dim1)=1,"",IF(AND(YEAR(Mar_Dim1+2)=Année_Calendaire,MONTH(Mar_Dim1+2)=3),Mar_Dim1+2,""))</f>
        <v>42430</v>
      </c>
      <c r="E42" s="67">
        <f>IF(DAY(Mar_Dim1)=1,"",IF(AND(YEAR(Mar_Dim1+3)=Année_Calendaire,MONTH(Mar_Dim1+3)=3),Mar_Dim1+3,""))</f>
        <v>42431</v>
      </c>
      <c r="F42" s="67">
        <f>IF(DAY(Mar_Dim1)=1,"",IF(AND(YEAR(Mar_Dim1+4)=Année_Calendaire,MONTH(Mar_Dim1+4)=3),Mar_Dim1+4,""))</f>
        <v>42432</v>
      </c>
      <c r="G42" s="67">
        <f>IF(DAY(Mar_Dim1)=1,"",IF(AND(YEAR(Mar_Dim1+5)=Année_Calendaire,MONTH(Mar_Dim1+5)=3),Mar_Dim1+5,""))</f>
        <v>42433</v>
      </c>
      <c r="H42" s="67">
        <f>IF(DAY(Mar_Dim1)=1,"",IF(AND(YEAR(Mar_Dim1+6)=Année_Calendaire,MONTH(Mar_Dim1+6)=3),Mar_Dim1+6,""))</f>
        <v>42434</v>
      </c>
      <c r="I42" s="67">
        <f>IF(DAY(Mar_Dim1)=1,IF(AND(YEAR(Mar_Dim1)=Année_Calendaire,MONTH(Mar_Dim1)=3),Mar_Dim1,""),IF(AND(YEAR(Mar_Dim1+7)=Année_Calendaire,MONTH(Mar_Dim1+7)=3),Mar_Dim1+7,""))</f>
        <v>42435</v>
      </c>
      <c r="J42" s="96"/>
      <c r="K42" s="87"/>
      <c r="L42" s="67">
        <f>IF(DAY(Mar_Dim1)=1,IF(AND(YEAR(Mar_Dim1+1)=Année_Calendaire,MONTH(Mar_Dim1+1)=3),Mar_Dim1+1,""),IF(AND(YEAR(Mar_Dim1+8)=Année_Calendaire,MONTH(Mar_Dim1+8)=3),Mar_Dim1+8,""))</f>
        <v>42436</v>
      </c>
      <c r="M42" s="67">
        <f>IF(DAY(Mar_Dim1)=1,IF(AND(YEAR(Mar_Dim1+2)=Année_Calendaire,MONTH(Mar_Dim1+2)=3),Mar_Dim1+2,""),IF(AND(YEAR(Mar_Dim1+9)=Année_Calendaire,MONTH(Mar_Dim1+9)=3),Mar_Dim1+9,""))</f>
        <v>42437</v>
      </c>
      <c r="N42" s="67">
        <f>IF(DAY(Mar_Dim1)=1,IF(AND(YEAR(Mar_Dim1+3)=Année_Calendaire,MONTH(Mar_Dim1+3)=3),Mar_Dim1+3,""),IF(AND(YEAR(Mar_Dim1+10)=Année_Calendaire,MONTH(Mar_Dim1+10)=3),Mar_Dim1+10,""))</f>
        <v>42438</v>
      </c>
      <c r="O42" s="67">
        <f>IF(DAY(Mar_Dim1)=1,IF(AND(YEAR(Mar_Dim1+4)=Année_Calendaire,MONTH(Mar_Dim1+4)=3),Mar_Dim1+4,""),IF(AND(YEAR(Mar_Dim1+11)=Année_Calendaire,MONTH(Mar_Dim1+11)=3),Mar_Dim1+11,""))</f>
        <v>42439</v>
      </c>
      <c r="P42" s="67">
        <f>IF(DAY(Mar_Dim1)=1,IF(AND(YEAR(Mar_Dim1+5)=Année_Calendaire,MONTH(Mar_Dim1+5)=3),Mar_Dim1+5,""),IF(AND(YEAR(Mar_Dim1+12)=Année_Calendaire,MONTH(Mar_Dim1+12)=3),Mar_Dim1+12,""))</f>
        <v>42440</v>
      </c>
      <c r="Q42" s="67">
        <f>IF(DAY(Mar_Dim1)=1,IF(AND(YEAR(Mar_Dim1+6)=Année_Calendaire,MONTH(Mar_Dim1+6)=3),Mar_Dim1+6,""),IF(AND(YEAR(Mar_Dim1+13)=Année_Calendaire,MONTH(Mar_Dim1+13)=3),Mar_Dim1+13,""))</f>
        <v>42441</v>
      </c>
      <c r="R42" s="67">
        <f>IF(DAY(Mar_Dim1)=1,IF(AND(YEAR(Mar_Dim1+7)=Année_Calendaire,MONTH(Mar_Dim1+7)=3),Mar_Dim1+7,""),IF(AND(YEAR(Mar_Dim1+14)=Année_Calendaire,MONTH(Mar_Dim1+14)=3),Mar_Dim1+14,""))</f>
        <v>42442</v>
      </c>
      <c r="S42" s="96"/>
      <c r="T42" s="87"/>
      <c r="U42" s="67">
        <f>IF(DAY(Mar_Dim1)=1,IF(AND(YEAR(Mar_Dim1+8)=Année_Calendaire,MONTH(Mar_Dim1+8)=3),Mar_Dim1+8,""),IF(AND(YEAR(Mar_Dim1+15)=Année_Calendaire,MONTH(Mar_Dim1+15)=3),Mar_Dim1+15,""))</f>
        <v>42443</v>
      </c>
      <c r="V42" s="67">
        <f>IF(DAY(Mar_Dim1)=1,IF(AND(YEAR(Mar_Dim1+9)=Année_Calendaire,MONTH(Mar_Dim1+9)=3),Mar_Dim1+9,""),IF(AND(YEAR(Mar_Dim1+16)=Année_Calendaire,MONTH(Mar_Dim1+16)=3),Mar_Dim1+16,""))</f>
        <v>42444</v>
      </c>
      <c r="W42" s="67">
        <f>IF(DAY(Mar_Dim1)=1,IF(AND(YEAR(Mar_Dim1+10)=Année_Calendaire,MONTH(Mar_Dim1+10)=3),Mar_Dim1+10,""),IF(AND(YEAR(Mar_Dim1+17)=Année_Calendaire,MONTH(Mar_Dim1+17)=3),Mar_Dim1+17,""))</f>
        <v>42445</v>
      </c>
      <c r="X42" s="67">
        <f>IF(DAY(Mar_Dim1)=1,IF(AND(YEAR(Mar_Dim1+11)=Année_Calendaire,MONTH(Mar_Dim1+11)=3),Mar_Dim1+11,""),IF(AND(YEAR(Mar_Dim1+18)=Année_Calendaire,MONTH(Mar_Dim1+18)=3),Mar_Dim1+18,""))</f>
        <v>42446</v>
      </c>
      <c r="Y42" s="67">
        <f>IF(DAY(Mar_Dim1)=1,IF(AND(YEAR(Mar_Dim1+12)=Année_Calendaire,MONTH(Mar_Dim1+12)=3),Mar_Dim1+12,""),IF(AND(YEAR(Mar_Dim1+19)=Année_Calendaire,MONTH(Mar_Dim1+19)=3),Mar_Dim1+19,""))</f>
        <v>42447</v>
      </c>
      <c r="Z42" s="67">
        <f>IF(DAY(Mar_Dim1)=1,IF(AND(YEAR(Mar_Dim1+13)=Année_Calendaire,MONTH(Mar_Dim1+13)=3),Mar_Dim1+13,""),IF(AND(YEAR(Mar_Dim1+20)=Année_Calendaire,MONTH(Mar_Dim1+20)=3),Mar_Dim1+20,""))</f>
        <v>42448</v>
      </c>
      <c r="AA42" s="67">
        <f>IF(DAY(Mar_Dim1)=1,IF(AND(YEAR(Mar_Dim1+14)=Année_Calendaire,MONTH(Mar_Dim1+14)=3),Mar_Dim1+14,""),IF(AND(YEAR(Mar_Dim1+21)=Année_Calendaire,MONTH(Mar_Dim1+21)=3),Mar_Dim1+21,""))</f>
        <v>42449</v>
      </c>
      <c r="AB42" s="96"/>
      <c r="AC42" s="87"/>
      <c r="AD42" s="67">
        <f>IF(DAY(Mar_Dim1)=1,IF(AND(YEAR(Mar_Dim1+15)=Année_Calendaire,MONTH(Mar_Dim1+15)=3),Mar_Dim1+15,""),IF(AND(YEAR(Mar_Dim1+22)=Année_Calendaire,MONTH(Mar_Dim1+22)=3),Mar_Dim1+22,""))</f>
        <v>42450</v>
      </c>
      <c r="AE42" s="67">
        <f>IF(DAY(Mar_Dim1)=1,IF(AND(YEAR(Mar_Dim1+16)=Année_Calendaire,MONTH(Mar_Dim1+16)=3),Mar_Dim1+16,""),IF(AND(YEAR(Mar_Dim1+23)=Année_Calendaire,MONTH(Mar_Dim1+23)=3),Mar_Dim1+23,""))</f>
        <v>42451</v>
      </c>
      <c r="AF42" s="67">
        <f>IF(DAY(Mar_Dim1)=1,IF(AND(YEAR(Mar_Dim1+17)=Année_Calendaire,MONTH(Mar_Dim1+17)=3),Mar_Dim1+17,""),IF(AND(YEAR(Mar_Dim1+24)=Année_Calendaire,MONTH(Mar_Dim1+24)=3),Mar_Dim1+24,""))</f>
        <v>42452</v>
      </c>
      <c r="AG42" s="67">
        <f>IF(DAY(Mar_Dim1)=1,IF(AND(YEAR(Mar_Dim1+18)=Année_Calendaire,MONTH(Mar_Dim1+18)=3),Mar_Dim1+18,""),IF(AND(YEAR(Mar_Dim1+25)=Année_Calendaire,MONTH(Mar_Dim1+25)=3),Mar_Dim1+25,""))</f>
        <v>42453</v>
      </c>
      <c r="AH42" s="67">
        <f>IF(DAY(Mar_Dim1)=1,IF(AND(YEAR(Mar_Dim1+19)=Année_Calendaire,MONTH(Mar_Dim1+19)=3),Mar_Dim1+19,""),IF(AND(YEAR(Mar_Dim1+26)=Année_Calendaire,MONTH(Mar_Dim1+26)=3),Mar_Dim1+26,""))</f>
        <v>42454</v>
      </c>
      <c r="AI42" s="67">
        <f>IF(DAY(Mar_Dim1)=1,IF(AND(YEAR(Mar_Dim1+20)=Année_Calendaire,MONTH(Mar_Dim1+20)=3),Mar_Dim1+20,""),IF(AND(YEAR(Mar_Dim1+27)=Année_Calendaire,MONTH(Mar_Dim1+27)=3),Mar_Dim1+27,""))</f>
        <v>42455</v>
      </c>
      <c r="AJ42" s="67">
        <f>IF(DAY(Mar_Dim1)=1,IF(AND(YEAR(Mar_Dim1+21)=Année_Calendaire,MONTH(Mar_Dim1+21)=3),Mar_Dim1+21,""),IF(AND(YEAR(Mar_Dim1+28)=Année_Calendaire,MONTH(Mar_Dim1+28)=3),Mar_Dim1+28,""))</f>
        <v>42456</v>
      </c>
      <c r="AK42" s="96"/>
      <c r="AL42" s="87"/>
      <c r="AM42" s="67">
        <f>IF(DAY(Mar_Dim1)=1,IF(AND(YEAR(Mar_Dim1+22)=Année_Calendaire,MONTH(Mar_Dim1+22)=3),Mar_Dim1+22,""),IF(AND(YEAR(Mar_Dim1+29)=Année_Calendaire,MONTH(Mar_Dim1+29)=3),Mar_Dim1+29,""))</f>
        <v>42457</v>
      </c>
      <c r="AN42" s="67">
        <f>IF(DAY(Mar_Dim1)=1,IF(AND(YEAR(Mar_Dim1+23)=Année_Calendaire,MONTH(Mar_Dim1+23)=3),Mar_Dim1+23,""),IF(AND(YEAR(Mar_Dim1+30)=Année_Calendaire,MONTH(Mar_Dim1+30)=3),Mar_Dim1+30,""))</f>
        <v>42458</v>
      </c>
      <c r="AO42" s="67">
        <f>IF(DAY(Mar_Dim1)=1,IF(AND(YEAR(Mar_Dim1+24)=Année_Calendaire,MONTH(Mar_Dim1+24)=3),Mar_Dim1+24,""),IF(AND(YEAR(Mar_Dim1+31)=Année_Calendaire,MONTH(Mar_Dim1+31)=3),Mar_Dim1+31,""))</f>
        <v>42459</v>
      </c>
      <c r="AP42" s="67">
        <f>IF(DAY(Mar_Dim1)=1,IF(AND(YEAR(Mar_Dim1+25)=Année_Calendaire,MONTH(Mar_Dim1+25)=3),Mar_Dim1+25,""),IF(AND(YEAR(Mar_Dim1+32)=Année_Calendaire,MONTH(Mar_Dim1+32)=3),Mar_Dim1+32,""))</f>
        <v>42460</v>
      </c>
      <c r="AQ42" s="67" t="str">
        <f>IF(DAY(Mar_Dim1)=1,IF(AND(YEAR(Mar_Dim1+26)=Année_Calendaire,MONTH(Mar_Dim1+26)=3),Mar_Dim1+26,""),IF(AND(YEAR(Mar_Dim1+33)=Année_Calendaire,MONTH(Mar_Dim1+33)=3),Mar_Dim1+33,""))</f>
        <v/>
      </c>
      <c r="AR42" s="67" t="str">
        <f>IF(DAY(Mar_Dim1)=1,IF(AND(YEAR(Mar_Dim1+27)=Année_Calendaire,MONTH(Mar_Dim1+27)=3),Mar_Dim1+27,""),IF(AND(YEAR(Mar_Dim1+34)=Année_Calendaire,MONTH(Mar_Dim1+34)=3),Mar_Dim1+34,""))</f>
        <v/>
      </c>
      <c r="AS42" s="67" t="str">
        <f>IF(DAY(Mar_Dim1)=1,IF(AND(YEAR(Mar_Dim1+28)=Année_Calendaire,MONTH(Mar_Dim1+28)=3),Mar_Dim1+28,""),IF(AND(YEAR(Mar_Dim1+35)=Année_Calendaire,MONTH(Mar_Dim1+35)=3),Mar_Dim1+35,""))</f>
        <v/>
      </c>
      <c r="AT42" s="96"/>
      <c r="AU42" s="87"/>
      <c r="AV42" s="61" t="str">
        <f>IF(DAY(Mar_Dim1)=1,IF(AND(YEAR(Mar_Dim1+29)=Année_Calendaire,MONTH(Mar_Dim1+29)=3),Mar_Dim1+29,""),IF(AND(YEAR(Mar_Dim1+36)=Année_Calendaire,MONTH(Mar_Dim1+36)=3),Mar_Dim1+36,""))</f>
        <v/>
      </c>
      <c r="AW42" s="61" t="str">
        <f>IF(DAY(Mar_Dim1)=1,IF(AND(YEAR(Mar_Dim1+30)=Année_Calendaire,MONTH(Mar_Dim1+30)=3),Mar_Dim1+30,""),IF(AND(YEAR(Mar_Dim1+37)=Année_Calendaire,MONTH(Mar_Dim1+37)=3),Mar_Dim1+37,""))</f>
        <v/>
      </c>
      <c r="AX42" s="96"/>
      <c r="AY42" s="96"/>
      <c r="AZ42" s="97"/>
      <c r="BA42" s="97"/>
      <c r="BB42" s="46"/>
      <c r="BC42" s="46"/>
      <c r="BD42" s="46"/>
      <c r="BE42" s="46"/>
      <c r="BF42" s="35"/>
    </row>
    <row r="43" spans="1:59" s="8" customFormat="1" ht="15" customHeight="1" x14ac:dyDescent="0.25">
      <c r="A43" s="21" t="s">
        <v>2</v>
      </c>
      <c r="B43" s="81"/>
      <c r="C43" s="31"/>
      <c r="D43" s="31"/>
      <c r="E43" s="31"/>
      <c r="F43" s="31"/>
      <c r="G43" s="31"/>
      <c r="H43" s="31"/>
      <c r="I43" s="31"/>
      <c r="J43" s="60"/>
      <c r="K43" s="60"/>
      <c r="L43" s="31"/>
      <c r="M43" s="31"/>
      <c r="N43" s="31"/>
      <c r="O43" s="31"/>
      <c r="P43" s="31"/>
      <c r="Q43" s="31"/>
      <c r="R43" s="31"/>
      <c r="S43" s="60"/>
      <c r="T43" s="60"/>
      <c r="U43" s="31"/>
      <c r="V43" s="31"/>
      <c r="W43" s="31"/>
      <c r="X43" s="31"/>
      <c r="Y43" s="31"/>
      <c r="Z43" s="31"/>
      <c r="AA43" s="31"/>
      <c r="AB43" s="60"/>
      <c r="AC43" s="60"/>
      <c r="AD43" s="31"/>
      <c r="AE43" s="31"/>
      <c r="AF43" s="31"/>
      <c r="AG43" s="31"/>
      <c r="AH43" s="31"/>
      <c r="AI43" s="31"/>
      <c r="AJ43" s="31"/>
      <c r="AK43" s="60"/>
      <c r="AL43" s="60"/>
      <c r="AM43" s="31"/>
      <c r="AN43" s="31"/>
      <c r="AO43" s="31"/>
      <c r="AP43" s="31"/>
      <c r="AQ43" s="31"/>
      <c r="AR43" s="31"/>
      <c r="AS43" s="31"/>
      <c r="AT43" s="60"/>
      <c r="AU43" s="60"/>
      <c r="AV43" s="31"/>
      <c r="AW43" s="31"/>
      <c r="AX43" s="60"/>
      <c r="AY43" s="63"/>
      <c r="AZ43" s="52"/>
      <c r="BA43" s="52"/>
      <c r="BB43" s="52"/>
      <c r="BC43" s="52"/>
      <c r="BD43" s="52"/>
      <c r="BE43" s="52"/>
      <c r="BF43" s="35"/>
    </row>
    <row r="44" spans="1:59" s="33" customFormat="1" ht="15" customHeight="1" x14ac:dyDescent="0.25">
      <c r="A44" s="21" t="s">
        <v>12</v>
      </c>
      <c r="B44" s="81"/>
      <c r="C44" s="60">
        <f t="shared" ref="C44:I44" si="60">IF(C43="Matin",1,IF(C43="AM",1,0))</f>
        <v>0</v>
      </c>
      <c r="D44" s="60">
        <f t="shared" si="60"/>
        <v>0</v>
      </c>
      <c r="E44" s="60">
        <f t="shared" si="60"/>
        <v>0</v>
      </c>
      <c r="F44" s="60">
        <f t="shared" si="60"/>
        <v>0</v>
      </c>
      <c r="G44" s="60">
        <f t="shared" si="60"/>
        <v>0</v>
      </c>
      <c r="H44" s="60">
        <f t="shared" si="60"/>
        <v>0</v>
      </c>
      <c r="I44" s="60">
        <f t="shared" si="60"/>
        <v>0</v>
      </c>
      <c r="J44" s="60">
        <f>SUM(C44:I44)</f>
        <v>0</v>
      </c>
      <c r="K44" s="60"/>
      <c r="L44" s="60">
        <f t="shared" ref="L44:R44" si="61">IF(L43="Matin",1,IF(L43="AM",1,0))</f>
        <v>0</v>
      </c>
      <c r="M44" s="60">
        <f t="shared" si="61"/>
        <v>0</v>
      </c>
      <c r="N44" s="60">
        <f t="shared" si="61"/>
        <v>0</v>
      </c>
      <c r="O44" s="60">
        <f t="shared" si="61"/>
        <v>0</v>
      </c>
      <c r="P44" s="60">
        <f t="shared" si="61"/>
        <v>0</v>
      </c>
      <c r="Q44" s="60">
        <f t="shared" si="61"/>
        <v>0</v>
      </c>
      <c r="R44" s="60">
        <f t="shared" si="61"/>
        <v>0</v>
      </c>
      <c r="S44" s="60">
        <f>SUM(L44:R44)</f>
        <v>0</v>
      </c>
      <c r="T44" s="60"/>
      <c r="U44" s="60">
        <f t="shared" ref="U44:AA44" si="62">IF(U43="Matin",1,IF(U43="AM",1,0))</f>
        <v>0</v>
      </c>
      <c r="V44" s="60">
        <f t="shared" si="62"/>
        <v>0</v>
      </c>
      <c r="W44" s="60">
        <f t="shared" si="62"/>
        <v>0</v>
      </c>
      <c r="X44" s="60">
        <f t="shared" si="62"/>
        <v>0</v>
      </c>
      <c r="Y44" s="60">
        <f t="shared" si="62"/>
        <v>0</v>
      </c>
      <c r="Z44" s="60">
        <f t="shared" si="62"/>
        <v>0</v>
      </c>
      <c r="AA44" s="60">
        <f t="shared" si="62"/>
        <v>0</v>
      </c>
      <c r="AB44" s="60">
        <f>SUM(U44:AA44)</f>
        <v>0</v>
      </c>
      <c r="AC44" s="60"/>
      <c r="AD44" s="60">
        <f t="shared" ref="AD44:AJ44" si="63">IF(AD43="Matin",1,IF(AD43="AM",1,0))</f>
        <v>0</v>
      </c>
      <c r="AE44" s="60">
        <f t="shared" si="63"/>
        <v>0</v>
      </c>
      <c r="AF44" s="60">
        <f t="shared" si="63"/>
        <v>0</v>
      </c>
      <c r="AG44" s="60">
        <f t="shared" si="63"/>
        <v>0</v>
      </c>
      <c r="AH44" s="60">
        <f t="shared" si="63"/>
        <v>0</v>
      </c>
      <c r="AI44" s="60">
        <f t="shared" si="63"/>
        <v>0</v>
      </c>
      <c r="AJ44" s="60">
        <f t="shared" si="63"/>
        <v>0</v>
      </c>
      <c r="AK44" s="60">
        <f>SUM(AD44:AJ44)</f>
        <v>0</v>
      </c>
      <c r="AL44" s="60"/>
      <c r="AM44" s="60">
        <f t="shared" ref="AM44:AS44" si="64">IF(AM43="Matin",1,IF(AM43="AM",1,0))</f>
        <v>0</v>
      </c>
      <c r="AN44" s="60">
        <f t="shared" si="64"/>
        <v>0</v>
      </c>
      <c r="AO44" s="60">
        <f t="shared" si="64"/>
        <v>0</v>
      </c>
      <c r="AP44" s="60">
        <f t="shared" si="64"/>
        <v>0</v>
      </c>
      <c r="AQ44" s="60">
        <f t="shared" si="64"/>
        <v>0</v>
      </c>
      <c r="AR44" s="60">
        <f t="shared" si="64"/>
        <v>0</v>
      </c>
      <c r="AS44" s="60">
        <f t="shared" si="64"/>
        <v>0</v>
      </c>
      <c r="AT44" s="60">
        <f>SUM(AM44:AS44)</f>
        <v>0</v>
      </c>
      <c r="AU44" s="60"/>
      <c r="AV44" s="60">
        <f t="shared" ref="AV44:AW44" si="65">IF(AV43="Matin",1,IF(AV43="AM",1,0))</f>
        <v>0</v>
      </c>
      <c r="AW44" s="60">
        <f t="shared" si="65"/>
        <v>0</v>
      </c>
      <c r="AX44" s="60">
        <f t="shared" ref="AX44:AX51" si="66">SUM(AV44:AW44)</f>
        <v>0</v>
      </c>
      <c r="AY44" s="60">
        <f>J44+S44+AB44+AK44+AT44+AX44</f>
        <v>0</v>
      </c>
      <c r="AZ44" s="31"/>
      <c r="BA44" s="31"/>
      <c r="BB44" s="31"/>
      <c r="BC44" s="31"/>
      <c r="BD44" s="31"/>
      <c r="BE44" s="31"/>
      <c r="BF44" s="31"/>
      <c r="BG44" s="34"/>
    </row>
    <row r="45" spans="1:59" s="33" customFormat="1" ht="15" customHeight="1" x14ac:dyDescent="0.25">
      <c r="A45" s="21" t="s">
        <v>4</v>
      </c>
      <c r="B45" s="81"/>
      <c r="C45" s="60">
        <f>IF(C46&gt;=1,1,0)</f>
        <v>0</v>
      </c>
      <c r="D45" s="60">
        <f>IF(D46&gt;=1,1,0)</f>
        <v>0</v>
      </c>
      <c r="E45" s="60">
        <f t="shared" ref="E45:I45" si="67">IF(E46&gt;=1,1,0)</f>
        <v>0</v>
      </c>
      <c r="F45" s="60">
        <f t="shared" si="67"/>
        <v>0</v>
      </c>
      <c r="G45" s="60">
        <f t="shared" si="67"/>
        <v>0</v>
      </c>
      <c r="H45" s="60">
        <f t="shared" si="67"/>
        <v>0</v>
      </c>
      <c r="I45" s="60">
        <f t="shared" si="67"/>
        <v>0</v>
      </c>
      <c r="J45" s="60">
        <f t="shared" ref="J45:J55" si="68">SUM(C45:I45)</f>
        <v>0</v>
      </c>
      <c r="K45" s="60"/>
      <c r="L45" s="60">
        <f>IF(L46&gt;=1,1,0)</f>
        <v>0</v>
      </c>
      <c r="M45" s="60">
        <f t="shared" ref="M45:R45" si="69">IF(M46&gt;=1,1,0)</f>
        <v>0</v>
      </c>
      <c r="N45" s="60">
        <f t="shared" si="69"/>
        <v>0</v>
      </c>
      <c r="O45" s="60">
        <f t="shared" si="69"/>
        <v>0</v>
      </c>
      <c r="P45" s="60">
        <f t="shared" si="69"/>
        <v>0</v>
      </c>
      <c r="Q45" s="60">
        <f t="shared" si="69"/>
        <v>0</v>
      </c>
      <c r="R45" s="60">
        <f t="shared" si="69"/>
        <v>0</v>
      </c>
      <c r="S45" s="60">
        <f t="shared" ref="S45:S55" si="70">SUM(L45:R45)</f>
        <v>0</v>
      </c>
      <c r="T45" s="60"/>
      <c r="U45" s="60">
        <f>IF(U46&gt;=1,1,0)</f>
        <v>0</v>
      </c>
      <c r="V45" s="60">
        <f t="shared" ref="V45:AA45" si="71">IF(V46&gt;=1,1,0)</f>
        <v>0</v>
      </c>
      <c r="W45" s="60">
        <f t="shared" si="71"/>
        <v>0</v>
      </c>
      <c r="X45" s="60">
        <f t="shared" si="71"/>
        <v>0</v>
      </c>
      <c r="Y45" s="60">
        <f t="shared" si="71"/>
        <v>0</v>
      </c>
      <c r="Z45" s="60">
        <f t="shared" si="71"/>
        <v>0</v>
      </c>
      <c r="AA45" s="60">
        <f t="shared" si="71"/>
        <v>0</v>
      </c>
      <c r="AB45" s="60">
        <f t="shared" ref="AB45:AB55" si="72">SUM(U45:AA45)</f>
        <v>0</v>
      </c>
      <c r="AC45" s="60"/>
      <c r="AD45" s="60">
        <f>IF(AD46&gt;=1,1,0)</f>
        <v>0</v>
      </c>
      <c r="AE45" s="60">
        <f t="shared" ref="AE45:AJ45" si="73">IF(AE46&gt;=1,1,0)</f>
        <v>0</v>
      </c>
      <c r="AF45" s="60">
        <f t="shared" si="73"/>
        <v>0</v>
      </c>
      <c r="AG45" s="60">
        <f t="shared" si="73"/>
        <v>0</v>
      </c>
      <c r="AH45" s="60">
        <f t="shared" si="73"/>
        <v>0</v>
      </c>
      <c r="AI45" s="60">
        <f t="shared" si="73"/>
        <v>0</v>
      </c>
      <c r="AJ45" s="60">
        <f t="shared" si="73"/>
        <v>0</v>
      </c>
      <c r="AK45" s="60">
        <f t="shared" ref="AK45:AK55" si="74">SUM(AD45:AJ45)</f>
        <v>0</v>
      </c>
      <c r="AL45" s="60"/>
      <c r="AM45" s="60">
        <f>IF(AM46&gt;=1,1,0)</f>
        <v>0</v>
      </c>
      <c r="AN45" s="60">
        <f t="shared" ref="AN45:AS45" si="75">IF(AN46&gt;=1,1,0)</f>
        <v>0</v>
      </c>
      <c r="AO45" s="60">
        <f t="shared" si="75"/>
        <v>0</v>
      </c>
      <c r="AP45" s="60">
        <f t="shared" si="75"/>
        <v>0</v>
      </c>
      <c r="AQ45" s="60">
        <f t="shared" si="75"/>
        <v>0</v>
      </c>
      <c r="AR45" s="60">
        <f t="shared" si="75"/>
        <v>0</v>
      </c>
      <c r="AS45" s="60">
        <f t="shared" si="75"/>
        <v>0</v>
      </c>
      <c r="AT45" s="60">
        <f t="shared" ref="AT45:AT55" si="76">SUM(AM45:AS45)</f>
        <v>0</v>
      </c>
      <c r="AU45" s="60"/>
      <c r="AV45" s="60">
        <f>IF(AV46&gt;=1,1,0)</f>
        <v>0</v>
      </c>
      <c r="AW45" s="60">
        <f t="shared" ref="AW45" si="77">IF(AW46&gt;=1,1,0)</f>
        <v>0</v>
      </c>
      <c r="AX45" s="60">
        <f t="shared" si="66"/>
        <v>0</v>
      </c>
      <c r="AY45" s="60">
        <f t="shared" ref="AY45:AY54" si="78">J45+S45+AB45+AK45+AT45+AX45</f>
        <v>0</v>
      </c>
      <c r="AZ45" s="52"/>
      <c r="BA45" s="52"/>
      <c r="BB45" s="52"/>
      <c r="BC45" s="52"/>
      <c r="BD45" s="52"/>
      <c r="BE45" s="52"/>
      <c r="BF45" s="35"/>
    </row>
    <row r="46" spans="1:59" s="8" customFormat="1" ht="15" customHeight="1" x14ac:dyDescent="0.25">
      <c r="A46" s="21" t="s">
        <v>3</v>
      </c>
      <c r="B46" s="81"/>
      <c r="C46" s="31"/>
      <c r="D46" s="31"/>
      <c r="E46" s="31"/>
      <c r="F46" s="31"/>
      <c r="G46" s="31"/>
      <c r="H46" s="31"/>
      <c r="I46" s="31"/>
      <c r="J46" s="60">
        <f t="shared" si="68"/>
        <v>0</v>
      </c>
      <c r="K46" s="60"/>
      <c r="L46" s="31"/>
      <c r="M46" s="31"/>
      <c r="N46" s="31"/>
      <c r="O46" s="31"/>
      <c r="P46" s="31"/>
      <c r="Q46" s="31"/>
      <c r="R46" s="31"/>
      <c r="S46" s="60">
        <f t="shared" si="70"/>
        <v>0</v>
      </c>
      <c r="T46" s="60"/>
      <c r="U46" s="31"/>
      <c r="V46" s="31"/>
      <c r="W46" s="31"/>
      <c r="X46" s="31"/>
      <c r="Y46" s="31"/>
      <c r="Z46" s="31"/>
      <c r="AA46" s="31"/>
      <c r="AB46" s="60">
        <f t="shared" si="72"/>
        <v>0</v>
      </c>
      <c r="AC46" s="60"/>
      <c r="AD46" s="31"/>
      <c r="AE46" s="31"/>
      <c r="AF46" s="31"/>
      <c r="AG46" s="31"/>
      <c r="AH46" s="31"/>
      <c r="AI46" s="31"/>
      <c r="AJ46" s="31"/>
      <c r="AK46" s="60">
        <f t="shared" si="74"/>
        <v>0</v>
      </c>
      <c r="AL46" s="60"/>
      <c r="AM46" s="31"/>
      <c r="AN46" s="31"/>
      <c r="AO46" s="31"/>
      <c r="AP46" s="31"/>
      <c r="AQ46" s="31"/>
      <c r="AR46" s="31"/>
      <c r="AS46" s="31"/>
      <c r="AT46" s="60">
        <f t="shared" si="76"/>
        <v>0</v>
      </c>
      <c r="AU46" s="60"/>
      <c r="AV46" s="31"/>
      <c r="AW46" s="31"/>
      <c r="AX46" s="60">
        <f t="shared" si="66"/>
        <v>0</v>
      </c>
      <c r="AY46" s="60">
        <f t="shared" si="78"/>
        <v>0</v>
      </c>
      <c r="AZ46" s="52"/>
      <c r="BA46" s="52"/>
      <c r="BB46" s="52"/>
      <c r="BC46" s="52"/>
      <c r="BD46" s="52"/>
      <c r="BE46" s="52"/>
      <c r="BF46" s="35"/>
    </row>
    <row r="47" spans="1:59" s="8" customFormat="1" ht="15" customHeight="1" x14ac:dyDescent="0.25">
      <c r="A47" s="36" t="s">
        <v>20</v>
      </c>
      <c r="B47" s="82"/>
      <c r="C47" s="66">
        <f>IF(C41&lt;&gt;"Dim",IF(C46&gt;32,MIN(C46,35)-32,0),0)</f>
        <v>0</v>
      </c>
      <c r="D47" s="66">
        <f>IF(D41&lt;&gt;"Dim",IF(SUM($C46:D46)&gt;32,MIN(SUM($C46:D46),35)-32-SUM($C47:C47),0),0)</f>
        <v>0</v>
      </c>
      <c r="E47" s="66">
        <f>IF(E41&lt;&gt;"Dim",IF(SUM($C46:E46)&gt;32,MIN(SUM($C46:E46),35)-32-SUM($C47:D47),0),0)</f>
        <v>0</v>
      </c>
      <c r="F47" s="66">
        <f>IF(F41&lt;&gt;"Dim",IF(SUM($C46:F46)&gt;32,MIN(SUM($C46:F46),35)-32-SUM($C47:E47),0),0)</f>
        <v>0</v>
      </c>
      <c r="G47" s="66">
        <f>IF(G41&lt;&gt;"Dim",IF(SUM($C46:G46)&gt;32,MIN(SUM($C46:G46),35)-32-SUM($C47:F47),0),0)</f>
        <v>0</v>
      </c>
      <c r="H47" s="66">
        <f>IF(H41&lt;&gt;"Dim",IF(SUM($C46:H46)&gt;32,MIN(SUM($C46:H46),35)-32-SUM($C47:G47),0),0)</f>
        <v>0</v>
      </c>
      <c r="I47" s="66">
        <f>IF(I41&lt;&gt;"Dim",IF(SUM($C46:I46)&gt;32,MIN(SUM($C46:I46),35)-32-SUM($C47:H47),0),0)</f>
        <v>0</v>
      </c>
      <c r="J47" s="60">
        <f t="shared" si="68"/>
        <v>0</v>
      </c>
      <c r="K47" s="60"/>
      <c r="L47" s="66">
        <f>IF(L41&lt;&gt;"Dim",IF(L46&gt;32,MIN(L46,35)-32,0),0)</f>
        <v>0</v>
      </c>
      <c r="M47" s="66">
        <f>IF(M41&lt;&gt;"Dim",IF(SUM($L46:M46)&gt;32,MIN(SUM($L46:M46),35)-32-SUM($L47:L47),0),0)</f>
        <v>0</v>
      </c>
      <c r="N47" s="66">
        <f>IF(N41&lt;&gt;"Dim",IF(SUM($L46:N46)&gt;32,MIN(SUM($L46:N46),35)-32-SUM($L47:M47),0),0)</f>
        <v>0</v>
      </c>
      <c r="O47" s="66">
        <f>IF(O41&lt;&gt;"Dim",IF(SUM($L46:O46)&gt;32,MIN(SUM($L46:O46),35)-32-SUM($L47:N47),0),0)</f>
        <v>0</v>
      </c>
      <c r="P47" s="66">
        <f>IF(P41&lt;&gt;"Dim",IF(SUM($L46:P46)&gt;32,MIN(SUM($L46:P46),35)-32-SUM($L47:O47),0),0)</f>
        <v>0</v>
      </c>
      <c r="Q47" s="66">
        <f>IF(Q41&lt;&gt;"Dim",IF(SUM($L46:Q46)&gt;32,MIN(SUM($L46:Q46),35)-32-SUM($L47:P47),0),0)</f>
        <v>0</v>
      </c>
      <c r="R47" s="66">
        <f>IF(R41&lt;&gt;"Dim",IF(SUM($L46:R46)&gt;32,MIN(SUM($L46:R46),35)-32-SUM($L47:Q47),0),0)</f>
        <v>0</v>
      </c>
      <c r="S47" s="60">
        <f t="shared" si="70"/>
        <v>0</v>
      </c>
      <c r="T47" s="60"/>
      <c r="U47" s="66">
        <f>IF(U41&lt;&gt;"Dim",IF(U46&gt;32,MIN(U46,35)-32,0),0)</f>
        <v>0</v>
      </c>
      <c r="V47" s="66">
        <f>IF(V41&lt;&gt;"Dim",IF(SUM($U46:V46)&gt;32,MIN(SUM($U46:V46),35)-32-SUM($U47:U47),0),0)</f>
        <v>0</v>
      </c>
      <c r="W47" s="66">
        <f>IF(W41&lt;&gt;"Dim",IF(SUM($U46:W46)&gt;32,MIN(SUM($U46:W46),35)-32-SUM($U47:V47),0),0)</f>
        <v>0</v>
      </c>
      <c r="X47" s="66">
        <f>IF(X41&lt;&gt;"Dim",IF(SUM($U46:X46)&gt;32,MIN(SUM($U46:X46),35)-32-SUM($U47:W47),0),0)</f>
        <v>0</v>
      </c>
      <c r="Y47" s="66">
        <f>IF(Y41&lt;&gt;"Dim",IF(SUM($U46:Y46)&gt;32,MIN(SUM($U46:Y46),35)-32-SUM($U47:X47),0),0)</f>
        <v>0</v>
      </c>
      <c r="Z47" s="66">
        <f>IF(Z41&lt;&gt;"Dim",IF(SUM($U46:Z46)&gt;32,MIN(SUM($U46:Z46),35)-32-SUM($U47:Y47),0),0)</f>
        <v>0</v>
      </c>
      <c r="AA47" s="66">
        <f>IF(AA41&lt;&gt;"Dim",IF(SUM($U46:AA46)&gt;32,MIN(SUM($U46:AA46),35)-32-SUM($U47:Z47),0),0)</f>
        <v>0</v>
      </c>
      <c r="AB47" s="60">
        <f t="shared" si="72"/>
        <v>0</v>
      </c>
      <c r="AC47" s="60"/>
      <c r="AD47" s="66">
        <f>IF(AD41&lt;&gt;"Dim",IF(AD46&gt;32,MIN(AD46,35)-32,0),0)</f>
        <v>0</v>
      </c>
      <c r="AE47" s="66">
        <f>IF(AE41&lt;&gt;"Dim",IF(SUM($AD46:AE46)&gt;32,MIN(SUM($AD46:AE46),35)-32-SUM($AD47:AD47),0),0)</f>
        <v>0</v>
      </c>
      <c r="AF47" s="66">
        <f>IF(AF41&lt;&gt;"Dim",IF(SUM($AD46:AF46)&gt;32,MIN(SUM($AD46:AF46),35)-32-SUM($AD47:AE47),0),0)</f>
        <v>0</v>
      </c>
      <c r="AG47" s="66">
        <f>IF(AG41&lt;&gt;"Dim",IF(SUM($AD46:AG46)&gt;32,MIN(SUM($AD46:AG46),35)-32-SUM($AD47:AF47),0),0)</f>
        <v>0</v>
      </c>
      <c r="AH47" s="66">
        <f>IF(AH41&lt;&gt;"Dim",IF(SUM($AD46:AH46)&gt;32,MIN(SUM($AD46:AH46),35)-32-SUM($AD47:AG47),0),0)</f>
        <v>0</v>
      </c>
      <c r="AI47" s="66">
        <f>IF(AI41&lt;&gt;"Dim",IF(SUM($AD46:AI46)&gt;32,MIN(SUM($AD46:AI46),35)-32-SUM($AD47:AH47),0),0)</f>
        <v>0</v>
      </c>
      <c r="AJ47" s="66">
        <f>IF(AJ41&lt;&gt;"Dim",IF(SUM($AD46:AJ46)&gt;32,MIN(SUM($AD46:AJ46),35)-32-SUM($AD47:AI47),0),0)</f>
        <v>0</v>
      </c>
      <c r="AK47" s="60">
        <f t="shared" si="74"/>
        <v>0</v>
      </c>
      <c r="AL47" s="60"/>
      <c r="AM47" s="66">
        <f>IF(AM41&lt;&gt;"Dim",IF(AM46&gt;32,MIN(AM46,35)-32,0),0)</f>
        <v>0</v>
      </c>
      <c r="AN47" s="66">
        <f>IF(AN41&lt;&gt;"Dim",IF(SUM($AM46:AN46)&gt;32,MIN(SUM($AM46:AN46),35)-32-SUM($AM47:AM47),0),0)</f>
        <v>0</v>
      </c>
      <c r="AO47" s="66">
        <f>IF(AO41&lt;&gt;"Dim",IF(SUM($AM46:AO46)&gt;32,MIN(SUM($AM46:AO46),35)-32-SUM($AM47:AN47),0),0)</f>
        <v>0</v>
      </c>
      <c r="AP47" s="66">
        <f>IF(AP41&lt;&gt;"Dim",IF(SUM($AM46:AP46)&gt;32,MIN(SUM($AM46:AP46),35)-32-SUM($AM47:AO47),0),0)</f>
        <v>0</v>
      </c>
      <c r="AQ47" s="66">
        <f>IF(AQ41&lt;&gt;"Dim",IF(SUM($AM46:AQ46)&gt;32,MIN(SUM($AM46:AQ46),35)-32-SUM($AM47:AP47),0),0)</f>
        <v>0</v>
      </c>
      <c r="AR47" s="66">
        <f>IF(AR41&lt;&gt;"Dim",IF(SUM($AM46:AR46)&gt;32,MIN(SUM($AM46:AR46),35)-32-SUM($AM47:AQ47),0),0)</f>
        <v>0</v>
      </c>
      <c r="AS47" s="66">
        <f>IF(AS41&lt;&gt;"Dim",IF(SUM($AM46:AS46)&gt;32,MIN(SUM($AM46:AS46),35)-32-SUM($AM47:AR47),0),0)</f>
        <v>0</v>
      </c>
      <c r="AT47" s="60">
        <f t="shared" si="76"/>
        <v>0</v>
      </c>
      <c r="AU47" s="60"/>
      <c r="AV47" s="66">
        <f>IF(AV41&lt;&gt;"Dim",IF(AV46&gt;32,MIN(AV46,35)-32,0),0)</f>
        <v>0</v>
      </c>
      <c r="AW47" s="66">
        <f>IF(AW41&lt;&gt;"Dim",IF(SUM($AV46:AW46)&gt;32,MIN(SUM($AV46:AW46),35)-32-SUM($AV47:AV47),0),0)</f>
        <v>0</v>
      </c>
      <c r="AX47" s="60">
        <f t="shared" si="66"/>
        <v>0</v>
      </c>
      <c r="AY47" s="60">
        <f t="shared" si="78"/>
        <v>0</v>
      </c>
      <c r="AZ47" s="52"/>
      <c r="BA47" s="52"/>
      <c r="BB47" s="52"/>
      <c r="BC47" s="52"/>
      <c r="BD47" s="52"/>
      <c r="BE47" s="52"/>
      <c r="BF47" s="35"/>
    </row>
    <row r="48" spans="1:59" s="8" customFormat="1" ht="15" customHeight="1" x14ac:dyDescent="0.25">
      <c r="A48" s="21" t="s">
        <v>6</v>
      </c>
      <c r="B48" s="81"/>
      <c r="C48" s="66">
        <f>IF(C41&lt;&gt;"Dim",IF(C46&gt;35,(MIN(C46,43)-35),0),0)</f>
        <v>0</v>
      </c>
      <c r="D48" s="66">
        <f>IF(D41&lt;&gt;"Dim",IF(SUM($C46:D46)&gt;35,(MIN(SUM($C46:D46),43)-35-SUM($C48:C48)),0),0)</f>
        <v>0</v>
      </c>
      <c r="E48" s="66">
        <f>IF(E41&lt;&gt;"Dim",IF(SUM($C46:E46)&gt;35,(MIN(SUM($C46:E46),43)-35-SUM($C48:D48)),0),0)</f>
        <v>0</v>
      </c>
      <c r="F48" s="66">
        <f>IF(F41&lt;&gt;"Dim",IF(SUM($C46:F46)&gt;35,(MIN(SUM($C46:F46),43)-35-SUM($C48:E48)),0),0)</f>
        <v>0</v>
      </c>
      <c r="G48" s="66">
        <f>IF(G41&lt;&gt;"Dim",IF(SUM($C46:G46)&gt;35,(MIN(SUM($C46:G46),43)-35-SUM($C48:F48)),0),0)</f>
        <v>0</v>
      </c>
      <c r="H48" s="66">
        <f>IF(H41&lt;&gt;"Dim",IF(SUM($C46:H46)&gt;35,(MIN(SUM($C46:H46),43)-35-SUM($C48:G48)),0),0)</f>
        <v>0</v>
      </c>
      <c r="I48" s="66">
        <f>IF(I41&lt;&gt;"Dim",IF(SUM($C46:I46)&gt;35,(MIN(SUM($C46:I46),43)-35-SUM($C48:H48)),0),0)</f>
        <v>0</v>
      </c>
      <c r="J48" s="60">
        <f t="shared" si="68"/>
        <v>0</v>
      </c>
      <c r="K48" s="60"/>
      <c r="L48" s="66">
        <f>IF(L41&lt;&gt;"Dim",IF(L46&gt;35,(MIN(L46,43)-35),0),0)</f>
        <v>0</v>
      </c>
      <c r="M48" s="66">
        <f>IF(M41&lt;&gt;"Dim",IF(SUM($L46:M46)&gt;35,(MIN(SUM($L46:M46),43)-35-SUM($L48:L48)),0),0)</f>
        <v>0</v>
      </c>
      <c r="N48" s="66">
        <f>IF(N41&lt;&gt;"Dim",IF(SUM($L46:N46)&gt;35,(MIN(SUM($L46:N46),43)-35-SUM($L48:M48)),0),0)</f>
        <v>0</v>
      </c>
      <c r="O48" s="66">
        <f>IF(O41&lt;&gt;"Dim",IF(SUM($L46:O46)&gt;35,(MIN(SUM($L46:O46),43)-35-SUM($L48:N48)),0),0)</f>
        <v>0</v>
      </c>
      <c r="P48" s="66">
        <f>IF(P41&lt;&gt;"Dim",IF(SUM($L46:P46)&gt;35,(MIN(SUM($L46:P46),43)-35-SUM($L48:O48)),0),0)</f>
        <v>0</v>
      </c>
      <c r="Q48" s="66">
        <f>IF(Q41&lt;&gt;"Dim",IF(SUM($L46:Q46)&gt;35,(MIN(SUM($L46:Q46),43)-35-SUM($L48:P48)),0),0)</f>
        <v>0</v>
      </c>
      <c r="R48" s="66">
        <f>IF(R41&lt;&gt;"Dim",IF(SUM($L46:R46)&gt;35,(MIN(SUM($L46:R46),43)-35-SUM($L48:Q48)),0),0)</f>
        <v>0</v>
      </c>
      <c r="S48" s="60">
        <f t="shared" si="70"/>
        <v>0</v>
      </c>
      <c r="T48" s="60"/>
      <c r="U48" s="66">
        <f>IF(U41&lt;&gt;"Dim",IF(U46&gt;35,(MIN(U46,43)-35),0),0)</f>
        <v>0</v>
      </c>
      <c r="V48" s="66">
        <f>IF(V41&lt;&gt;"Dim",IF(SUM($U46:V46)&gt;35,(MIN(SUM($U46:V46),43)-35-SUM($U48:U48)),0),0)</f>
        <v>0</v>
      </c>
      <c r="W48" s="66">
        <f>IF(W41&lt;&gt;"Dim",IF(SUM($U46:W46)&gt;35,(MIN(SUM($U46:W46),43)-35-SUM($U48:V48)),0),0)</f>
        <v>0</v>
      </c>
      <c r="X48" s="66">
        <f>IF(X41&lt;&gt;"Dim",IF(SUM($U46:X46)&gt;35,(MIN(SUM($U46:X46),43)-35-SUM($U48:W48)),0),0)</f>
        <v>0</v>
      </c>
      <c r="Y48" s="66">
        <f>IF(Y41&lt;&gt;"Dim",IF(SUM($U46:Y46)&gt;35,(MIN(SUM($U46:Y46),43)-35-SUM($U48:X48)),0),0)</f>
        <v>0</v>
      </c>
      <c r="Z48" s="66">
        <f>IF(Z41&lt;&gt;"Dim",IF(SUM($U46:Z46)&gt;35,(MIN(SUM($U46:Z46),43)-35-SUM($U48:Y48)),0),0)</f>
        <v>0</v>
      </c>
      <c r="AA48" s="66">
        <f>IF(AA41&lt;&gt;"Dim",IF(SUM($U46:AA46)&gt;35,(MIN(SUM($U46:AA46),43)-35-SUM($U48:Z48)),0),0)</f>
        <v>0</v>
      </c>
      <c r="AB48" s="60">
        <f t="shared" si="72"/>
        <v>0</v>
      </c>
      <c r="AC48" s="60"/>
      <c r="AD48" s="66">
        <f>IF(AD41&lt;&gt;"Dim",IF(AD46&gt;35,(MIN(AD46,43)-35),0),0)</f>
        <v>0</v>
      </c>
      <c r="AE48" s="66">
        <f>IF(AE41&lt;&gt;"Dim",IF(SUM($AD46:AE46)&gt;35,(MIN(SUM($AD46:AE46),43)-35-SUM($AD48:AD48)),0),0)</f>
        <v>0</v>
      </c>
      <c r="AF48" s="66">
        <f>IF(AF41&lt;&gt;"Dim",IF(SUM($AD46:AF46)&gt;35,(MIN(SUM($AD46:AF46),43)-35-SUM($AD48:AE48)),0),0)</f>
        <v>0</v>
      </c>
      <c r="AG48" s="66">
        <f>IF(AG41&lt;&gt;"Dim",IF(SUM($AD46:AG46)&gt;35,(MIN(SUM($AD46:AG46),43)-35-SUM($AD48:AF48)),0),0)</f>
        <v>0</v>
      </c>
      <c r="AH48" s="66">
        <f>IF(AH41&lt;&gt;"Dim",IF(SUM($AD46:AH46)&gt;35,(MIN(SUM($AD46:AH46),43)-35-SUM($AD48:AG48)),0),0)</f>
        <v>0</v>
      </c>
      <c r="AI48" s="66">
        <f>IF(AI41&lt;&gt;"Dim",IF(SUM($AD46:AI46)&gt;35,(MIN(SUM($AD46:AI46),43)-35-SUM($AD48:AH48)),0),0)</f>
        <v>0</v>
      </c>
      <c r="AJ48" s="66">
        <f>IF(AJ41&lt;&gt;"Dim",IF(SUM($AD46:AJ46)&gt;35,(MIN(SUM($AD46:AJ46),43)-35-SUM($AD48:AI48)),0),0)</f>
        <v>0</v>
      </c>
      <c r="AK48" s="60">
        <f t="shared" si="74"/>
        <v>0</v>
      </c>
      <c r="AL48" s="60"/>
      <c r="AM48" s="66">
        <f>IF(AM41&lt;&gt;"Dim",IF(AM46&gt;35,(MIN(AM46,43)-35),0),0)</f>
        <v>0</v>
      </c>
      <c r="AN48" s="66">
        <f>IF(AN41&lt;&gt;"Dim",IF(SUM($AM46:AN46)&gt;35,(MIN(SUM($AM46:AN46),43)-35-SUM($AM48:AM48)),0),0)</f>
        <v>0</v>
      </c>
      <c r="AO48" s="66">
        <f>IF(AO41&lt;&gt;"Dim",IF(SUM($AM46:AO46)&gt;35,(MIN(SUM($AM46:AO46),43)-35-SUM($AM48:AN48)),0),0)</f>
        <v>0</v>
      </c>
      <c r="AP48" s="66">
        <f>IF(AP41&lt;&gt;"Dim",IF(SUM($AM46:AP46)&gt;35,(MIN(SUM($AM46:AP46),43)-35-SUM($AM48:AO48)),0),0)</f>
        <v>0</v>
      </c>
      <c r="AQ48" s="66">
        <f>IF(AQ41&lt;&gt;"Dim",IF(SUM($AM46:AQ46)&gt;35,(MIN(SUM($AM46:AQ46),43)-35-SUM($AM48:AP48)),0),0)</f>
        <v>0</v>
      </c>
      <c r="AR48" s="66">
        <f>IF(AR41&lt;&gt;"Dim",IF(SUM($AM46:AR46)&gt;35,(MIN(SUM($AM46:AR46),43)-35-SUM($AM48:AQ48)),0),0)</f>
        <v>0</v>
      </c>
      <c r="AS48" s="66">
        <f>IF(AS41&lt;&gt;"Dim",IF(SUM($AM46:AS46)&gt;35,(MIN(SUM($AM46:AS46),43)-35-SUM($AM48:AR48)),0),0)</f>
        <v>0</v>
      </c>
      <c r="AT48" s="60">
        <f t="shared" si="76"/>
        <v>0</v>
      </c>
      <c r="AU48" s="60"/>
      <c r="AV48" s="66">
        <f>IF(AV41&lt;&gt;"Dim",IF(AV46&gt;35,(MIN(AV46,43)-35),0),0)</f>
        <v>0</v>
      </c>
      <c r="AW48" s="66">
        <f>IF(AW41&lt;&gt;"Dim",IF(SUM($AV46:AW46)&gt;35,(MIN(SUM($AV46:AW46),43)-35-SUM($AV48:AV48)),0),0)</f>
        <v>0</v>
      </c>
      <c r="AX48" s="60">
        <f t="shared" si="66"/>
        <v>0</v>
      </c>
      <c r="AY48" s="60">
        <f t="shared" si="78"/>
        <v>0</v>
      </c>
      <c r="AZ48" s="52"/>
      <c r="BA48" s="52"/>
      <c r="BB48" s="52"/>
      <c r="BC48" s="52"/>
      <c r="BD48" s="52"/>
      <c r="BE48" s="52"/>
      <c r="BF48" s="35"/>
    </row>
    <row r="49" spans="1:58" s="8" customFormat="1" ht="15" customHeight="1" x14ac:dyDescent="0.25">
      <c r="A49" s="21" t="s">
        <v>5</v>
      </c>
      <c r="B49" s="81"/>
      <c r="C49" s="66">
        <f>IF(C41&lt;&gt;"Dim",IF(C46&gt;43,(MIN(C46,48)-43),0),0)</f>
        <v>0</v>
      </c>
      <c r="D49" s="66">
        <f>IF(D41&lt;&gt;"Dim",IF(SUM($C46:D46)&gt;43,(MIN(SUM($C46:D46),48)-43-SUM($C49:C49)),0),0)</f>
        <v>0</v>
      </c>
      <c r="E49" s="66">
        <f>IF(E41&lt;&gt;"Dim",IF(SUM($C46:E46)&gt;43,(MIN(SUM($C46:E46),48)-43-SUM($C49:D49)),0),0)</f>
        <v>0</v>
      </c>
      <c r="F49" s="66">
        <f>IF(F41&lt;&gt;"Dim",IF(SUM($C46:F46)&gt;43,(MIN(SUM($C46:F46),48)-43-SUM($C49:E49)),0),0)</f>
        <v>0</v>
      </c>
      <c r="G49" s="66">
        <f>IF(G41&lt;&gt;"Dim",IF(SUM($C46:G46)&gt;43,(MIN(SUM($C46:G46),48)-43-SUM($C49:F49)),0),0)</f>
        <v>0</v>
      </c>
      <c r="H49" s="66">
        <f>IF(H41&lt;&gt;"Dim",IF(SUM($C46:H46)&gt;43,(MIN(SUM($C46:H46),48)-43-SUM($C49:G49)),0),0)</f>
        <v>0</v>
      </c>
      <c r="I49" s="66">
        <f>IF(I41&lt;&gt;"Dim",IF(SUM($C46:I46)&gt;43,(MIN(SUM($C46:I46),48)-43-SUM($C49:H49)),0),0)</f>
        <v>0</v>
      </c>
      <c r="J49" s="60">
        <f t="shared" si="68"/>
        <v>0</v>
      </c>
      <c r="K49" s="60"/>
      <c r="L49" s="66">
        <f>IF(L41&lt;&gt;"Dim",IF(L46&gt;43,(MIN(L46,48)-43),0),0)</f>
        <v>0</v>
      </c>
      <c r="M49" s="66">
        <f>IF(M41&lt;&gt;"Dim",IF(SUM($L46:M46)&gt;43,(MIN(SUM($L46:M46),48)-43-SUM($L49:L49)),0),0)</f>
        <v>0</v>
      </c>
      <c r="N49" s="66">
        <f>IF(N41&lt;&gt;"Dim",IF(SUM($L46:N46)&gt;43,(MIN(SUM($L46:N46),48)-43-SUM($L49:M49)),0),0)</f>
        <v>0</v>
      </c>
      <c r="O49" s="66">
        <f>IF(O41&lt;&gt;"Dim",IF(SUM($L46:O46)&gt;43,(MIN(SUM($L46:O46),48)-43-SUM($L49:N49)),0),0)</f>
        <v>0</v>
      </c>
      <c r="P49" s="66">
        <f>IF(P41&lt;&gt;"Dim",IF(SUM($L46:P46)&gt;43,(MIN(SUM($L46:P46),48)-43-SUM($L49:O49)),0),0)</f>
        <v>0</v>
      </c>
      <c r="Q49" s="66">
        <f>IF(Q41&lt;&gt;"Dim",IF(SUM($L46:Q46)&gt;43,(MIN(SUM($L46:Q46),48)-43-SUM($L49:P49)),0),0)</f>
        <v>0</v>
      </c>
      <c r="R49" s="66">
        <f>IF(R41&lt;&gt;"Dim",IF(SUM($L46:R46)&gt;43,(MIN(SUM($L46:R46),48)-43-SUM($L49:Q49)),0),0)</f>
        <v>0</v>
      </c>
      <c r="S49" s="60">
        <f t="shared" si="70"/>
        <v>0</v>
      </c>
      <c r="T49" s="60"/>
      <c r="U49" s="66">
        <f>IF(U41&lt;&gt;"Dim",IF(U46&gt;43,(MIN(U46,48)-43),0),0)</f>
        <v>0</v>
      </c>
      <c r="V49" s="66">
        <f>IF(V41&lt;&gt;"Dim",IF(SUM($U46:V46)&gt;43,(MIN(SUM($U46:V46),48)-43-SUM($U49:U49)),0),0)</f>
        <v>0</v>
      </c>
      <c r="W49" s="66">
        <f>IF(W41&lt;&gt;"Dim",IF(SUM($U46:W46)&gt;43,(MIN(SUM($U46:W46),48)-43-SUM($U49:V49)),0),0)</f>
        <v>0</v>
      </c>
      <c r="X49" s="66">
        <f>IF(X41&lt;&gt;"Dim",IF(SUM($U46:X46)&gt;43,(MIN(SUM($U46:X46),48)-43-SUM($U49:W49)),0),0)</f>
        <v>0</v>
      </c>
      <c r="Y49" s="66">
        <f>IF(Y41&lt;&gt;"Dim",IF(SUM($U46:Y46)&gt;43,(MIN(SUM($U46:Y46),48)-43-SUM($U49:X49)),0),0)</f>
        <v>0</v>
      </c>
      <c r="Z49" s="66">
        <f>IF(Z41&lt;&gt;"Dim",IF(SUM($U46:Z46)&gt;43,(MIN(SUM($U46:Z46),48)-43-SUM($U49:Y49)),0),0)</f>
        <v>0</v>
      </c>
      <c r="AA49" s="66">
        <f>IF(AA41&lt;&gt;"Dim",IF(SUM($U46:AA46)&gt;43,(MIN(SUM($U46:AA46),48)-43-SUM($U49:Z49)),0),0)</f>
        <v>0</v>
      </c>
      <c r="AB49" s="60">
        <f t="shared" si="72"/>
        <v>0</v>
      </c>
      <c r="AC49" s="60"/>
      <c r="AD49" s="66">
        <f>IF(AD41&lt;&gt;"Dim",IF(AD46&gt;43,(MIN(AD46,48)-43),0),0)</f>
        <v>0</v>
      </c>
      <c r="AE49" s="66">
        <f>IF(AE41&lt;&gt;"Dim",IF(SUM($AD46:AE46)&gt;43,(MIN(SUM($AD46:AE46),48)-43-SUM($AD49:AD49)),0),0)</f>
        <v>0</v>
      </c>
      <c r="AF49" s="66">
        <f>IF(AF41&lt;&gt;"Dim",IF(SUM($AD46:AF46)&gt;43,(MIN(SUM($AD46:AF46),48)-43-SUM($AD49:AE49)),0),0)</f>
        <v>0</v>
      </c>
      <c r="AG49" s="66">
        <f>IF(AG41&lt;&gt;"Dim",IF(SUM($AD46:AG46)&gt;43,(MIN(SUM($AD46:AG46),48)-43-SUM($AD49:AF49)),0),0)</f>
        <v>0</v>
      </c>
      <c r="AH49" s="66">
        <f>IF(AH41&lt;&gt;"Dim",IF(SUM($AD46:AH46)&gt;43,(MIN(SUM($AD46:AH46),48)-43-SUM($AD49:AG49)),0),0)</f>
        <v>0</v>
      </c>
      <c r="AI49" s="66">
        <f>IF(AI41&lt;&gt;"Dim",IF(SUM($AD46:AI46)&gt;43,(MIN(SUM($AD46:AI46),48)-43-SUM($AD49:AH49)),0),0)</f>
        <v>0</v>
      </c>
      <c r="AJ49" s="66">
        <f>IF(AJ41&lt;&gt;"Dim",IF(SUM($AD46:AJ46)&gt;43,(MIN(SUM($AD46:AJ46),48)-43-SUM($AD49:AI49)),0),0)</f>
        <v>0</v>
      </c>
      <c r="AK49" s="60">
        <f t="shared" si="74"/>
        <v>0</v>
      </c>
      <c r="AL49" s="60"/>
      <c r="AM49" s="66">
        <f>IF(AM41&lt;&gt;"Dim",IF(AM46&gt;43,(MIN(AM46,48)-43),0),0)</f>
        <v>0</v>
      </c>
      <c r="AN49" s="66">
        <f>IF(AN41&lt;&gt;"Dim",IF(SUM($AM46:AN46)&gt;43,(MIN(SUM($AM46:AN46),48)-43-SUM($AM49:AM49)),0),0)</f>
        <v>0</v>
      </c>
      <c r="AO49" s="66">
        <f>IF(AO41&lt;&gt;"Dim",IF(SUM($AM46:AO46)&gt;43,(MIN(SUM($AM46:AO46),48)-43-SUM($AM49:AN49)),0),0)</f>
        <v>0</v>
      </c>
      <c r="AP49" s="66">
        <f>IF(AP41&lt;&gt;"Dim",IF(SUM($AM46:AP46)&gt;43,(MIN(SUM($AM46:AP46),48)-43-SUM($AM49:AO49)),0),0)</f>
        <v>0</v>
      </c>
      <c r="AQ49" s="66">
        <f>IF(AQ41&lt;&gt;"Dim",IF(SUM($AM46:AQ46)&gt;43,(MIN(SUM($AM46:AQ46),48)-43-SUM($AM49:AP49)),0),0)</f>
        <v>0</v>
      </c>
      <c r="AR49" s="66">
        <f>IF(AR41&lt;&gt;"Dim",IF(SUM($AM46:AR46)&gt;43,(MIN(SUM($AM46:AR46),48)-43-SUM($AM49:AQ49)),0),0)</f>
        <v>0</v>
      </c>
      <c r="AS49" s="66">
        <f>IF(AS41&lt;&gt;"Dim",IF(SUM($AM46:AS46)&gt;43,(MIN(SUM($AM46:AS46),48)-43-SUM($AM49:AR49)),0),0)</f>
        <v>0</v>
      </c>
      <c r="AT49" s="60">
        <f t="shared" si="76"/>
        <v>0</v>
      </c>
      <c r="AU49" s="60"/>
      <c r="AV49" s="66">
        <f>IF(AV41&lt;&gt;"Dim",IF(AV46&gt;43,(MIN(AV46,48)-43),0),0)</f>
        <v>0</v>
      </c>
      <c r="AW49" s="66">
        <f>IF(AW41&lt;&gt;"Dim",IF(SUM($AV46:AW46)&gt;43,(MIN(SUM($AV46:AW46),48)-43-SUM($AV49:AV49)),0),0)</f>
        <v>0</v>
      </c>
      <c r="AX49" s="60">
        <f t="shared" si="66"/>
        <v>0</v>
      </c>
      <c r="AY49" s="60">
        <f t="shared" si="78"/>
        <v>0</v>
      </c>
      <c r="AZ49" s="53"/>
      <c r="BA49" s="53"/>
      <c r="BB49" s="53"/>
      <c r="BC49" s="53"/>
      <c r="BD49" s="42"/>
      <c r="BE49" s="42"/>
      <c r="BF49" s="32"/>
    </row>
    <row r="50" spans="1:58" s="7" customFormat="1" ht="15" customHeight="1" x14ac:dyDescent="0.25">
      <c r="A50" s="21" t="s">
        <v>7</v>
      </c>
      <c r="B50" s="81"/>
      <c r="C50" s="66">
        <f>IF(C41="Dim",C46,IF(C56="ferie",C46,0))</f>
        <v>0</v>
      </c>
      <c r="D50" s="66">
        <f t="shared" ref="D50:I50" si="79">IF(D41="Dim",D46,IF(D56="ferie",D46,0))</f>
        <v>0</v>
      </c>
      <c r="E50" s="66">
        <f t="shared" si="79"/>
        <v>0</v>
      </c>
      <c r="F50" s="66">
        <f t="shared" si="79"/>
        <v>0</v>
      </c>
      <c r="G50" s="66">
        <f t="shared" si="79"/>
        <v>0</v>
      </c>
      <c r="H50" s="66">
        <f t="shared" si="79"/>
        <v>0</v>
      </c>
      <c r="I50" s="66">
        <f t="shared" si="79"/>
        <v>0</v>
      </c>
      <c r="J50" s="60">
        <f t="shared" si="68"/>
        <v>0</v>
      </c>
      <c r="K50" s="60"/>
      <c r="L50" s="66">
        <f>IF(L41="Dim",L46,IF(L56="ferie",L46,0))</f>
        <v>0</v>
      </c>
      <c r="M50" s="66">
        <f t="shared" ref="M50:R50" si="80">IF(M41="Dim",M46,IF(M56="ferie",M46,0))</f>
        <v>0</v>
      </c>
      <c r="N50" s="66">
        <f t="shared" si="80"/>
        <v>0</v>
      </c>
      <c r="O50" s="66">
        <f t="shared" si="80"/>
        <v>0</v>
      </c>
      <c r="P50" s="66">
        <f t="shared" si="80"/>
        <v>0</v>
      </c>
      <c r="Q50" s="66">
        <f>IF(Q41="Dim",Q46,IF(Q56="ferie",Q46,0))</f>
        <v>0</v>
      </c>
      <c r="R50" s="66">
        <f t="shared" si="80"/>
        <v>0</v>
      </c>
      <c r="S50" s="60">
        <f t="shared" si="70"/>
        <v>0</v>
      </c>
      <c r="T50" s="60"/>
      <c r="U50" s="66">
        <f>IF(U41="Dim",U46,IF(U56="ferie",U46,0))</f>
        <v>0</v>
      </c>
      <c r="V50" s="66">
        <f t="shared" ref="V50:AA50" si="81">IF(V41="Dim",V46,IF(V56="ferie",V46,0))</f>
        <v>0</v>
      </c>
      <c r="W50" s="66">
        <f t="shared" si="81"/>
        <v>0</v>
      </c>
      <c r="X50" s="66">
        <f t="shared" si="81"/>
        <v>0</v>
      </c>
      <c r="Y50" s="66">
        <f t="shared" si="81"/>
        <v>0</v>
      </c>
      <c r="Z50" s="66">
        <f t="shared" si="81"/>
        <v>0</v>
      </c>
      <c r="AA50" s="66">
        <f t="shared" si="81"/>
        <v>0</v>
      </c>
      <c r="AB50" s="60">
        <f t="shared" si="72"/>
        <v>0</v>
      </c>
      <c r="AC50" s="60"/>
      <c r="AD50" s="66">
        <f>IF(AD41="Dim",AD46,IF(AD56="ferie",AD46,0))</f>
        <v>0</v>
      </c>
      <c r="AE50" s="66">
        <f t="shared" ref="AE50:AJ50" si="82">IF(AE41="Dim",AE46,IF(AE56="ferie",AE46,0))</f>
        <v>0</v>
      </c>
      <c r="AF50" s="66">
        <f t="shared" si="82"/>
        <v>0</v>
      </c>
      <c r="AG50" s="66">
        <f t="shared" si="82"/>
        <v>0</v>
      </c>
      <c r="AH50" s="66">
        <f t="shared" si="82"/>
        <v>0</v>
      </c>
      <c r="AI50" s="66">
        <f t="shared" si="82"/>
        <v>0</v>
      </c>
      <c r="AJ50" s="66">
        <f t="shared" si="82"/>
        <v>0</v>
      </c>
      <c r="AK50" s="60">
        <f t="shared" si="74"/>
        <v>0</v>
      </c>
      <c r="AL50" s="60"/>
      <c r="AM50" s="66">
        <f>IF(AM41="Dim",AM46,IF(AM56="ferie",AM46,0))</f>
        <v>0</v>
      </c>
      <c r="AN50" s="66">
        <f t="shared" ref="AN50:AW50" si="83">IF(AN41="Dim",AN46,IF(AN56="ferie",AN46,0))</f>
        <v>0</v>
      </c>
      <c r="AO50" s="66">
        <f t="shared" si="83"/>
        <v>0</v>
      </c>
      <c r="AP50" s="66">
        <f t="shared" si="83"/>
        <v>0</v>
      </c>
      <c r="AQ50" s="66">
        <f t="shared" si="83"/>
        <v>0</v>
      </c>
      <c r="AR50" s="66">
        <f t="shared" si="83"/>
        <v>0</v>
      </c>
      <c r="AS50" s="66">
        <f t="shared" si="83"/>
        <v>0</v>
      </c>
      <c r="AT50" s="60">
        <f>SUM(AM50:AS50)</f>
        <v>0</v>
      </c>
      <c r="AU50" s="60"/>
      <c r="AV50" s="66">
        <f>IF(AV41="Dim",AV46,IF(AV56="ferie",AV46,0))</f>
        <v>0</v>
      </c>
      <c r="AW50" s="66">
        <f t="shared" si="83"/>
        <v>0</v>
      </c>
      <c r="AX50" s="60">
        <f t="shared" si="66"/>
        <v>0</v>
      </c>
      <c r="AY50" s="60">
        <f t="shared" si="78"/>
        <v>0</v>
      </c>
      <c r="AZ50" s="40"/>
      <c r="BA50" s="40"/>
      <c r="BB50" s="40"/>
      <c r="BC50" s="40"/>
      <c r="BD50" s="40"/>
      <c r="BE50" s="40"/>
      <c r="BF50" s="29"/>
    </row>
    <row r="51" spans="1:58" s="7" customFormat="1" ht="15" customHeight="1" x14ac:dyDescent="0.25">
      <c r="A51" s="21" t="s">
        <v>8</v>
      </c>
      <c r="B51" s="81"/>
      <c r="C51" s="31"/>
      <c r="D51" s="31"/>
      <c r="E51" s="31"/>
      <c r="F51" s="31"/>
      <c r="G51" s="31"/>
      <c r="H51" s="31"/>
      <c r="I51" s="31"/>
      <c r="J51" s="60">
        <f t="shared" si="68"/>
        <v>0</v>
      </c>
      <c r="K51" s="60"/>
      <c r="L51" s="31"/>
      <c r="M51" s="31"/>
      <c r="N51" s="31"/>
      <c r="O51" s="31"/>
      <c r="P51" s="31"/>
      <c r="Q51" s="31"/>
      <c r="R51" s="31"/>
      <c r="S51" s="60">
        <f t="shared" si="70"/>
        <v>0</v>
      </c>
      <c r="T51" s="60"/>
      <c r="U51" s="31"/>
      <c r="V51" s="31"/>
      <c r="W51" s="31"/>
      <c r="X51" s="31"/>
      <c r="Y51" s="31"/>
      <c r="Z51" s="31"/>
      <c r="AA51" s="31"/>
      <c r="AB51" s="60">
        <f t="shared" si="72"/>
        <v>0</v>
      </c>
      <c r="AC51" s="60"/>
      <c r="AD51" s="31"/>
      <c r="AE51" s="31"/>
      <c r="AF51" s="31"/>
      <c r="AG51" s="31"/>
      <c r="AH51" s="31"/>
      <c r="AI51" s="31"/>
      <c r="AJ51" s="31"/>
      <c r="AK51" s="60">
        <f t="shared" si="74"/>
        <v>0</v>
      </c>
      <c r="AL51" s="60"/>
      <c r="AM51" s="31"/>
      <c r="AN51" s="31"/>
      <c r="AO51" s="31"/>
      <c r="AP51" s="31"/>
      <c r="AQ51" s="31"/>
      <c r="AR51" s="31"/>
      <c r="AS51" s="31"/>
      <c r="AT51" s="60">
        <f t="shared" si="76"/>
        <v>0</v>
      </c>
      <c r="AU51" s="60"/>
      <c r="AV51" s="31"/>
      <c r="AW51" s="31"/>
      <c r="AX51" s="60">
        <f t="shared" si="66"/>
        <v>0</v>
      </c>
      <c r="AY51" s="60">
        <f t="shared" si="78"/>
        <v>0</v>
      </c>
      <c r="AZ51" s="46"/>
      <c r="BA51" s="46"/>
      <c r="BB51" s="46"/>
      <c r="BC51" s="46"/>
      <c r="BD51" s="46"/>
      <c r="BE51" s="46"/>
      <c r="BF51" s="41"/>
    </row>
    <row r="52" spans="1:58" s="7" customFormat="1" ht="15" customHeight="1" x14ac:dyDescent="0.25">
      <c r="A52" s="36" t="s">
        <v>9</v>
      </c>
      <c r="B52" s="82"/>
      <c r="C52" s="31"/>
      <c r="D52" s="31"/>
      <c r="E52" s="31"/>
      <c r="F52" s="31"/>
      <c r="G52" s="31"/>
      <c r="H52" s="31"/>
      <c r="I52" s="31"/>
      <c r="J52" s="60">
        <f t="shared" si="68"/>
        <v>0</v>
      </c>
      <c r="K52" s="60"/>
      <c r="L52" s="31"/>
      <c r="M52" s="31"/>
      <c r="N52" s="31"/>
      <c r="O52" s="31"/>
      <c r="P52" s="31"/>
      <c r="Q52" s="31"/>
      <c r="R52" s="31"/>
      <c r="S52" s="60">
        <f t="shared" si="70"/>
        <v>0</v>
      </c>
      <c r="T52" s="60"/>
      <c r="U52" s="31"/>
      <c r="V52" s="31"/>
      <c r="W52" s="31"/>
      <c r="X52" s="31"/>
      <c r="Y52" s="31"/>
      <c r="Z52" s="31"/>
      <c r="AA52" s="31"/>
      <c r="AB52" s="60">
        <f t="shared" si="72"/>
        <v>0</v>
      </c>
      <c r="AC52" s="60"/>
      <c r="AD52" s="31"/>
      <c r="AE52" s="31"/>
      <c r="AF52" s="31"/>
      <c r="AG52" s="31"/>
      <c r="AH52" s="31"/>
      <c r="AI52" s="31"/>
      <c r="AJ52" s="31"/>
      <c r="AK52" s="60">
        <f t="shared" si="74"/>
        <v>0</v>
      </c>
      <c r="AL52" s="60"/>
      <c r="AM52" s="31"/>
      <c r="AN52" s="31"/>
      <c r="AO52" s="31"/>
      <c r="AP52" s="31"/>
      <c r="AQ52" s="31"/>
      <c r="AR52" s="31"/>
      <c r="AS52" s="31"/>
      <c r="AT52" s="60">
        <f t="shared" si="76"/>
        <v>0</v>
      </c>
      <c r="AU52" s="60"/>
      <c r="AV52" s="31"/>
      <c r="AW52" s="31"/>
      <c r="AX52" s="60">
        <f t="shared" ref="AX52:AX54" si="84">SUM(AV52:AW52)</f>
        <v>0</v>
      </c>
      <c r="AY52" s="60">
        <f t="shared" si="78"/>
        <v>0</v>
      </c>
      <c r="AZ52" s="31"/>
      <c r="BA52" s="31"/>
      <c r="BB52" s="31"/>
      <c r="BC52" s="31"/>
      <c r="BD52" s="31"/>
      <c r="BE52" s="31"/>
      <c r="BF52" s="41"/>
    </row>
    <row r="53" spans="1:58" s="7" customFormat="1" ht="15" customHeight="1" x14ac:dyDescent="0.25">
      <c r="A53" s="21" t="s">
        <v>11</v>
      </c>
      <c r="B53" s="81"/>
      <c r="C53" s="31"/>
      <c r="D53" s="31"/>
      <c r="E53" s="31"/>
      <c r="F53" s="31"/>
      <c r="G53" s="31"/>
      <c r="H53" s="31"/>
      <c r="I53" s="31"/>
      <c r="J53" s="60">
        <f t="shared" si="68"/>
        <v>0</v>
      </c>
      <c r="K53" s="60"/>
      <c r="L53" s="31"/>
      <c r="M53" s="31"/>
      <c r="N53" s="31"/>
      <c r="O53" s="31"/>
      <c r="P53" s="31"/>
      <c r="Q53" s="31"/>
      <c r="R53" s="31"/>
      <c r="S53" s="60">
        <f t="shared" si="70"/>
        <v>0</v>
      </c>
      <c r="T53" s="60"/>
      <c r="U53" s="31"/>
      <c r="V53" s="31"/>
      <c r="W53" s="31"/>
      <c r="X53" s="31"/>
      <c r="Y53" s="31"/>
      <c r="Z53" s="31"/>
      <c r="AA53" s="31"/>
      <c r="AB53" s="60">
        <f t="shared" si="72"/>
        <v>0</v>
      </c>
      <c r="AC53" s="60"/>
      <c r="AD53" s="31"/>
      <c r="AE53" s="31"/>
      <c r="AF53" s="31"/>
      <c r="AG53" s="31"/>
      <c r="AH53" s="31"/>
      <c r="AI53" s="31"/>
      <c r="AJ53" s="31"/>
      <c r="AK53" s="60">
        <f t="shared" si="74"/>
        <v>0</v>
      </c>
      <c r="AL53" s="60"/>
      <c r="AM53" s="31"/>
      <c r="AN53" s="31"/>
      <c r="AO53" s="31"/>
      <c r="AP53" s="31"/>
      <c r="AQ53" s="31"/>
      <c r="AR53" s="31"/>
      <c r="AS53" s="31"/>
      <c r="AT53" s="60">
        <f t="shared" si="76"/>
        <v>0</v>
      </c>
      <c r="AU53" s="60"/>
      <c r="AV53" s="31"/>
      <c r="AW53" s="31"/>
      <c r="AX53" s="60">
        <f t="shared" si="84"/>
        <v>0</v>
      </c>
      <c r="AY53" s="60">
        <f t="shared" si="78"/>
        <v>0</v>
      </c>
      <c r="AZ53" s="46"/>
      <c r="BA53" s="46"/>
      <c r="BB53" s="46"/>
      <c r="BC53" s="46"/>
      <c r="BD53" s="46"/>
      <c r="BE53" s="46"/>
      <c r="BF53" s="35"/>
    </row>
    <row r="54" spans="1:58" s="7" customFormat="1" ht="15" customHeight="1" x14ac:dyDescent="0.25">
      <c r="A54" s="36" t="s">
        <v>10</v>
      </c>
      <c r="B54" s="82"/>
      <c r="C54" s="31"/>
      <c r="D54" s="31"/>
      <c r="E54" s="31"/>
      <c r="F54" s="31"/>
      <c r="G54" s="31"/>
      <c r="H54" s="31"/>
      <c r="I54" s="31"/>
      <c r="J54" s="60">
        <f t="shared" si="68"/>
        <v>0</v>
      </c>
      <c r="K54" s="60"/>
      <c r="L54" s="31"/>
      <c r="M54" s="31"/>
      <c r="N54" s="31"/>
      <c r="O54" s="31"/>
      <c r="P54" s="31"/>
      <c r="Q54" s="31"/>
      <c r="R54" s="31"/>
      <c r="S54" s="60">
        <f t="shared" si="70"/>
        <v>0</v>
      </c>
      <c r="T54" s="60"/>
      <c r="U54" s="31"/>
      <c r="V54" s="31"/>
      <c r="W54" s="31"/>
      <c r="X54" s="31"/>
      <c r="Y54" s="31"/>
      <c r="Z54" s="31"/>
      <c r="AA54" s="31"/>
      <c r="AB54" s="60">
        <f t="shared" si="72"/>
        <v>0</v>
      </c>
      <c r="AC54" s="60"/>
      <c r="AD54" s="31"/>
      <c r="AE54" s="31"/>
      <c r="AF54" s="31"/>
      <c r="AG54" s="31"/>
      <c r="AH54" s="31"/>
      <c r="AI54" s="31"/>
      <c r="AJ54" s="31"/>
      <c r="AK54" s="60">
        <f t="shared" si="74"/>
        <v>0</v>
      </c>
      <c r="AL54" s="60"/>
      <c r="AM54" s="31"/>
      <c r="AN54" s="31"/>
      <c r="AO54" s="31"/>
      <c r="AP54" s="31"/>
      <c r="AQ54" s="31"/>
      <c r="AR54" s="31"/>
      <c r="AS54" s="31"/>
      <c r="AT54" s="60">
        <f t="shared" si="76"/>
        <v>0</v>
      </c>
      <c r="AU54" s="60"/>
      <c r="AV54" s="31"/>
      <c r="AW54" s="31"/>
      <c r="AX54" s="60">
        <f t="shared" si="84"/>
        <v>0</v>
      </c>
      <c r="AY54" s="60">
        <f t="shared" si="78"/>
        <v>0</v>
      </c>
      <c r="AZ54" s="46"/>
      <c r="BA54" s="46"/>
      <c r="BB54" s="46"/>
      <c r="BC54" s="46"/>
      <c r="BD54" s="46"/>
      <c r="BE54" s="46"/>
      <c r="BF54" s="35"/>
    </row>
    <row r="55" spans="1:58" s="33" customFormat="1" ht="15" customHeight="1" x14ac:dyDescent="0.25">
      <c r="A55" s="36" t="s">
        <v>44</v>
      </c>
      <c r="B55" s="82"/>
      <c r="C55" s="60">
        <f>IF(C43="nuit",C46*0.02,0)</f>
        <v>0</v>
      </c>
      <c r="D55" s="60">
        <f>IF(D43="nuit",D46*0.02,0)</f>
        <v>0</v>
      </c>
      <c r="E55" s="60">
        <f t="shared" ref="E55:I55" si="85">IF(E43="nuit",E46*0.02,0)</f>
        <v>0</v>
      </c>
      <c r="F55" s="60">
        <f t="shared" si="85"/>
        <v>0</v>
      </c>
      <c r="G55" s="60">
        <f>IF(G43="nuit",G46*0.02,0)</f>
        <v>0</v>
      </c>
      <c r="H55" s="60">
        <f t="shared" si="85"/>
        <v>0</v>
      </c>
      <c r="I55" s="60">
        <f t="shared" si="85"/>
        <v>0</v>
      </c>
      <c r="J55" s="60">
        <f t="shared" si="68"/>
        <v>0</v>
      </c>
      <c r="K55" s="60"/>
      <c r="L55" s="60">
        <f>IF(L43="nuit",L46*0.02,0)</f>
        <v>0</v>
      </c>
      <c r="M55" s="60">
        <f>IF(M43="nuit",M46*0.02,0)</f>
        <v>0</v>
      </c>
      <c r="N55" s="60">
        <f t="shared" ref="N55:R55" si="86">IF(N43="nuit",N46*0.02,0)</f>
        <v>0</v>
      </c>
      <c r="O55" s="60">
        <f t="shared" si="86"/>
        <v>0</v>
      </c>
      <c r="P55" s="60">
        <f>IF(P43="nuit",P46*0.02,0)</f>
        <v>0</v>
      </c>
      <c r="Q55" s="60">
        <f t="shared" si="86"/>
        <v>0</v>
      </c>
      <c r="R55" s="60">
        <f t="shared" si="86"/>
        <v>0</v>
      </c>
      <c r="S55" s="60">
        <f t="shared" si="70"/>
        <v>0</v>
      </c>
      <c r="T55" s="60"/>
      <c r="U55" s="60">
        <f>IF(U43="nuit",U46*0.02,0)</f>
        <v>0</v>
      </c>
      <c r="V55" s="60">
        <f>IF(V43="nuit",V46*0.02,0)</f>
        <v>0</v>
      </c>
      <c r="W55" s="60">
        <f t="shared" ref="W55:AA55" si="87">IF(W43="nuit",W46*0.02,0)</f>
        <v>0</v>
      </c>
      <c r="X55" s="60">
        <f t="shared" si="87"/>
        <v>0</v>
      </c>
      <c r="Y55" s="60">
        <f>IF(Y43="nuit",Y46*0.02,0)</f>
        <v>0</v>
      </c>
      <c r="Z55" s="60">
        <f t="shared" si="87"/>
        <v>0</v>
      </c>
      <c r="AA55" s="60">
        <f t="shared" si="87"/>
        <v>0</v>
      </c>
      <c r="AB55" s="60">
        <f t="shared" si="72"/>
        <v>0</v>
      </c>
      <c r="AC55" s="60"/>
      <c r="AD55" s="60">
        <f>IF(AD43="nuit",AD46*0.02,0)</f>
        <v>0</v>
      </c>
      <c r="AE55" s="60">
        <f>IF(AE43="nuit",AE46*0.02,0)</f>
        <v>0</v>
      </c>
      <c r="AF55" s="60">
        <f t="shared" ref="AF55:AJ55" si="88">IF(AF43="nuit",AF46*0.02,0)</f>
        <v>0</v>
      </c>
      <c r="AG55" s="60">
        <f t="shared" si="88"/>
        <v>0</v>
      </c>
      <c r="AH55" s="60">
        <f>IF(AH43="nuit",AH46*0.02,0)</f>
        <v>0</v>
      </c>
      <c r="AI55" s="60">
        <f t="shared" si="88"/>
        <v>0</v>
      </c>
      <c r="AJ55" s="60">
        <f t="shared" si="88"/>
        <v>0</v>
      </c>
      <c r="AK55" s="60">
        <f t="shared" si="74"/>
        <v>0</v>
      </c>
      <c r="AL55" s="60"/>
      <c r="AM55" s="60">
        <f>IF(AM43="nuit",AM46*0.02,0)</f>
        <v>0</v>
      </c>
      <c r="AN55" s="60">
        <f>IF(AN43="nuit",AN46*0.02,0)</f>
        <v>0</v>
      </c>
      <c r="AO55" s="60">
        <f t="shared" ref="AO55:AS55" si="89">IF(AO43="nuit",AO46*0.02,0)</f>
        <v>0</v>
      </c>
      <c r="AP55" s="60">
        <f t="shared" si="89"/>
        <v>0</v>
      </c>
      <c r="AQ55" s="60">
        <f>IF(AQ43="nuit",AQ46*0.02,0)</f>
        <v>0</v>
      </c>
      <c r="AR55" s="60">
        <f t="shared" si="89"/>
        <v>0</v>
      </c>
      <c r="AS55" s="60">
        <f t="shared" si="89"/>
        <v>0</v>
      </c>
      <c r="AT55" s="60">
        <f t="shared" si="76"/>
        <v>0</v>
      </c>
      <c r="AU55" s="60"/>
      <c r="AV55" s="60">
        <f>IF(AV43="nuit",AV46*0.02,0)</f>
        <v>0</v>
      </c>
      <c r="AW55" s="60">
        <f>IF(AW43="nuit",AW46*0.02,0)</f>
        <v>0</v>
      </c>
      <c r="AX55" s="60">
        <f>SUM(AV55:AW55)</f>
        <v>0</v>
      </c>
      <c r="AY55" s="60">
        <f>J55+S55+AB55+AK55+AT55+AX55</f>
        <v>0</v>
      </c>
      <c r="AZ55" s="52"/>
      <c r="BA55" s="52"/>
      <c r="BB55" s="52"/>
      <c r="BC55" s="52"/>
      <c r="BD55" s="52"/>
      <c r="BE55" s="52"/>
      <c r="BF55" s="35"/>
    </row>
    <row r="56" spans="1:58" s="7" customFormat="1" ht="15" customHeight="1" x14ac:dyDescent="0.25">
      <c r="A56" s="21" t="s">
        <v>31</v>
      </c>
      <c r="B56" s="81"/>
      <c r="C56" s="31"/>
      <c r="D56" s="31"/>
      <c r="E56" s="31"/>
      <c r="F56" s="31"/>
      <c r="G56" s="31"/>
      <c r="H56" s="37"/>
      <c r="I56" s="37"/>
      <c r="J56" s="64"/>
      <c r="K56" s="64"/>
      <c r="L56" s="37"/>
      <c r="M56" s="37"/>
      <c r="N56" s="37"/>
      <c r="O56" s="37"/>
      <c r="P56" s="37"/>
      <c r="Q56" s="37"/>
      <c r="R56" s="37"/>
      <c r="S56" s="64"/>
      <c r="T56" s="64"/>
      <c r="U56" s="37"/>
      <c r="V56" s="37"/>
      <c r="W56" s="37"/>
      <c r="X56" s="37"/>
      <c r="Y56" s="37"/>
      <c r="Z56" s="37"/>
      <c r="AA56" s="37"/>
      <c r="AB56" s="64"/>
      <c r="AC56" s="64"/>
      <c r="AD56" s="37"/>
      <c r="AE56" s="37"/>
      <c r="AF56" s="37"/>
      <c r="AG56" s="37"/>
      <c r="AH56" s="37"/>
      <c r="AI56" s="37"/>
      <c r="AJ56" s="37"/>
      <c r="AK56" s="64"/>
      <c r="AL56" s="64"/>
      <c r="AM56" s="37"/>
      <c r="AN56" s="37"/>
      <c r="AO56" s="37"/>
      <c r="AP56" s="37"/>
      <c r="AQ56" s="37"/>
      <c r="AR56" s="37"/>
      <c r="AS56" s="37"/>
      <c r="AT56" s="64"/>
      <c r="AU56" s="64"/>
      <c r="AV56" s="37"/>
      <c r="AW56" s="37"/>
      <c r="AX56" s="64"/>
      <c r="AY56" s="65"/>
      <c r="AZ56" s="46"/>
      <c r="BA56" s="46"/>
      <c r="BB56" s="46"/>
      <c r="BC56" s="46"/>
      <c r="BD56" s="46"/>
      <c r="BE56" s="46"/>
      <c r="BF56" s="35"/>
    </row>
    <row r="57" spans="1:58" s="7" customFormat="1" ht="15" customHeight="1" x14ac:dyDescent="0.25">
      <c r="A57" s="38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69"/>
      <c r="AZ57" s="46"/>
      <c r="BA57" s="46"/>
      <c r="BB57" s="46"/>
      <c r="BC57" s="46"/>
      <c r="BD57" s="46"/>
      <c r="BE57" s="46"/>
      <c r="BF57" s="35"/>
    </row>
    <row r="58" spans="1:58" s="8" customFormat="1" ht="27.6" x14ac:dyDescent="0.25">
      <c r="A58" s="21"/>
      <c r="B58" s="21"/>
      <c r="C58" s="24" t="s">
        <v>22</v>
      </c>
      <c r="D58" s="24"/>
      <c r="E58" s="24"/>
      <c r="F58" s="24"/>
      <c r="G58" s="24"/>
      <c r="H58" s="95">
        <f>Année_Calendaire</f>
        <v>2016</v>
      </c>
      <c r="I58" s="95"/>
      <c r="J58" s="88"/>
      <c r="K58" s="88"/>
      <c r="L58" s="31"/>
      <c r="M58" s="31"/>
      <c r="N58" s="31"/>
      <c r="O58" s="31"/>
      <c r="P58" s="31"/>
      <c r="Q58" s="31"/>
      <c r="R58" s="31"/>
      <c r="S58" s="88"/>
      <c r="T58" s="88"/>
      <c r="U58" s="24" t="s">
        <v>22</v>
      </c>
      <c r="V58" s="24"/>
      <c r="W58" s="24"/>
      <c r="X58" s="24"/>
      <c r="Y58" s="24"/>
      <c r="Z58" s="95">
        <f>Année_Calendaire</f>
        <v>2016</v>
      </c>
      <c r="AA58" s="95"/>
      <c r="AB58" s="88"/>
      <c r="AC58" s="88"/>
      <c r="AD58" s="31"/>
      <c r="AE58" s="31"/>
      <c r="AF58" s="31"/>
      <c r="AG58" s="31"/>
      <c r="AH58" s="31"/>
      <c r="AI58" s="31"/>
      <c r="AJ58" s="31"/>
      <c r="AK58" s="88"/>
      <c r="AL58" s="88"/>
      <c r="AM58" s="24" t="s">
        <v>22</v>
      </c>
      <c r="AN58" s="24"/>
      <c r="AO58" s="24"/>
      <c r="AP58" s="24"/>
      <c r="AQ58" s="24"/>
      <c r="AR58" s="95">
        <f>Année_Calendaire</f>
        <v>2016</v>
      </c>
      <c r="AS58" s="95"/>
      <c r="AT58" s="88"/>
      <c r="AU58" s="88"/>
      <c r="AV58" s="31"/>
      <c r="AW58" s="31"/>
      <c r="AX58" s="88"/>
      <c r="AY58" s="52"/>
      <c r="AZ58" s="52"/>
      <c r="BA58" s="52"/>
      <c r="BB58" s="52"/>
      <c r="BC58" s="52"/>
      <c r="BD58" s="52"/>
      <c r="BE58" s="52"/>
      <c r="BF58" s="35"/>
    </row>
    <row r="59" spans="1:58" s="8" customFormat="1" ht="29.25" customHeight="1" x14ac:dyDescent="0.25">
      <c r="A59" s="31"/>
      <c r="B59" s="60"/>
      <c r="C59" s="62" t="s">
        <v>13</v>
      </c>
      <c r="D59" s="62" t="s">
        <v>14</v>
      </c>
      <c r="E59" s="62" t="s">
        <v>15</v>
      </c>
      <c r="F59" s="62" t="s">
        <v>16</v>
      </c>
      <c r="G59" s="62" t="s">
        <v>17</v>
      </c>
      <c r="H59" s="62" t="s">
        <v>18</v>
      </c>
      <c r="I59" s="62" t="s">
        <v>19</v>
      </c>
      <c r="J59" s="96" t="s">
        <v>32</v>
      </c>
      <c r="K59" s="87"/>
      <c r="L59" s="62" t="s">
        <v>13</v>
      </c>
      <c r="M59" s="62" t="s">
        <v>14</v>
      </c>
      <c r="N59" s="62" t="s">
        <v>15</v>
      </c>
      <c r="O59" s="62" t="s">
        <v>16</v>
      </c>
      <c r="P59" s="62" t="s">
        <v>17</v>
      </c>
      <c r="Q59" s="62" t="s">
        <v>18</v>
      </c>
      <c r="R59" s="62" t="s">
        <v>19</v>
      </c>
      <c r="S59" s="96" t="s">
        <v>32</v>
      </c>
      <c r="T59" s="87"/>
      <c r="U59" s="62" t="s">
        <v>13</v>
      </c>
      <c r="V59" s="62" t="s">
        <v>14</v>
      </c>
      <c r="W59" s="62" t="s">
        <v>15</v>
      </c>
      <c r="X59" s="62" t="s">
        <v>16</v>
      </c>
      <c r="Y59" s="62" t="s">
        <v>17</v>
      </c>
      <c r="Z59" s="62" t="s">
        <v>18</v>
      </c>
      <c r="AA59" s="62" t="s">
        <v>19</v>
      </c>
      <c r="AB59" s="96" t="s">
        <v>32</v>
      </c>
      <c r="AC59" s="87"/>
      <c r="AD59" s="62" t="s">
        <v>13</v>
      </c>
      <c r="AE59" s="62" t="s">
        <v>14</v>
      </c>
      <c r="AF59" s="62" t="s">
        <v>15</v>
      </c>
      <c r="AG59" s="62" t="s">
        <v>16</v>
      </c>
      <c r="AH59" s="62" t="s">
        <v>17</v>
      </c>
      <c r="AI59" s="62" t="s">
        <v>18</v>
      </c>
      <c r="AJ59" s="62" t="s">
        <v>19</v>
      </c>
      <c r="AK59" s="96" t="s">
        <v>32</v>
      </c>
      <c r="AL59" s="87"/>
      <c r="AM59" s="62" t="s">
        <v>13</v>
      </c>
      <c r="AN59" s="62" t="s">
        <v>14</v>
      </c>
      <c r="AO59" s="62" t="s">
        <v>15</v>
      </c>
      <c r="AP59" s="62" t="s">
        <v>16</v>
      </c>
      <c r="AQ59" s="62" t="s">
        <v>17</v>
      </c>
      <c r="AR59" s="62" t="s">
        <v>18</v>
      </c>
      <c r="AS59" s="62" t="s">
        <v>19</v>
      </c>
      <c r="AT59" s="96" t="s">
        <v>32</v>
      </c>
      <c r="AU59" s="87"/>
      <c r="AV59" s="62" t="s">
        <v>13</v>
      </c>
      <c r="AW59" s="62" t="s">
        <v>14</v>
      </c>
      <c r="AX59" s="96" t="s">
        <v>32</v>
      </c>
      <c r="AY59" s="96" t="s">
        <v>35</v>
      </c>
      <c r="AZ59" s="97">
        <f>AY66+AY67+AY68</f>
        <v>0</v>
      </c>
      <c r="BA59" s="97">
        <f>AZ59+BA41</f>
        <v>15</v>
      </c>
      <c r="BB59" s="52"/>
      <c r="BC59" s="52"/>
      <c r="BD59" s="52"/>
      <c r="BE59" s="52"/>
      <c r="BF59" s="35"/>
    </row>
    <row r="60" spans="1:58" s="8" customFormat="1" ht="15" customHeight="1" x14ac:dyDescent="0.25">
      <c r="A60" s="48"/>
      <c r="B60" s="83"/>
      <c r="C60" s="67" t="str">
        <f>IF(DAY(Avr_Dim1)=1,"",IF(AND(YEAR(Avr_Dim1+1)=Année_Calendaire,MONTH(Avr_Dim1+1)=4),Avr_Dim1+1,""))</f>
        <v/>
      </c>
      <c r="D60" s="67" t="str">
        <f>IF(DAY(Avr_Dim1)=1,"",IF(AND(YEAR(Avr_Dim1+2)=Année_Calendaire,MONTH(Avr_Dim1+2)=4),Avr_Dim1+2,""))</f>
        <v/>
      </c>
      <c r="E60" s="67" t="str">
        <f>IF(DAY(Avr_Dim1)=1,"",IF(AND(YEAR(Avr_Dim1+3)=Année_Calendaire,MONTH(Avr_Dim1+3)=4),Avr_Dim1+3,""))</f>
        <v/>
      </c>
      <c r="F60" s="67" t="str">
        <f>IF(DAY(Avr_Dim1)=1,"",IF(AND(YEAR(Avr_Dim1+4)=Année_Calendaire,MONTH(Avr_Dim1+4)=4),Avr_Dim1+4,""))</f>
        <v/>
      </c>
      <c r="G60" s="67">
        <f>IF(DAY(Avr_Dim1)=1,"",IF(AND(YEAR(Avr_Dim1+5)=Année_Calendaire,MONTH(Avr_Dim1+5)=4),Avr_Dim1+5,""))</f>
        <v>42461</v>
      </c>
      <c r="H60" s="67">
        <f>IF(DAY(Avr_Dim1)=1,"",IF(AND(YEAR(Avr_Dim1+6)=Année_Calendaire,MONTH(Avr_Dim1+6)=4),Avr_Dim1+6,""))</f>
        <v>42462</v>
      </c>
      <c r="I60" s="67">
        <f>IF(DAY(Avr_Dim1)=1,IF(AND(YEAR(Avr_Dim1)=Année_Calendaire,MONTH(Avr_Dim1)=4),Avr_Dim1,""),IF(AND(YEAR(Avr_Dim1+7)=Année_Calendaire,MONTH(Avr_Dim1+7)=4),Avr_Dim1+7,""))</f>
        <v>42463</v>
      </c>
      <c r="J60" s="96"/>
      <c r="K60" s="87"/>
      <c r="L60" s="67">
        <f>IF(DAY(Avr_Dim1)=1,IF(AND(YEAR(Avr_Dim1+1)=Année_Calendaire,MONTH(Avr_Dim1+1)=4),Avr_Dim1+1,""),IF(AND(YEAR(Avr_Dim1+8)=Année_Calendaire,MONTH(Avr_Dim1+8)=4),Avr_Dim1+8,""))</f>
        <v>42464</v>
      </c>
      <c r="M60" s="67">
        <f>IF(DAY(Avr_Dim1)=1,IF(AND(YEAR(Avr_Dim1+2)=Année_Calendaire,MONTH(Avr_Dim1+2)=4),Avr_Dim1+2,""),IF(AND(YEAR(Avr_Dim1+9)=Année_Calendaire,MONTH(Avr_Dim1+9)=4),Avr_Dim1+9,""))</f>
        <v>42465</v>
      </c>
      <c r="N60" s="67">
        <f>IF(DAY(Avr_Dim1)=1,IF(AND(YEAR(Avr_Dim1+3)=Année_Calendaire,MONTH(Avr_Dim1+3)=4),Avr_Dim1+3,""),IF(AND(YEAR(Avr_Dim1+10)=Année_Calendaire,MONTH(Avr_Dim1+10)=4),Avr_Dim1+10,""))</f>
        <v>42466</v>
      </c>
      <c r="O60" s="67">
        <f>IF(DAY(Avr_Dim1)=1,IF(AND(YEAR(Avr_Dim1+4)=Année_Calendaire,MONTH(Avr_Dim1+4)=4),Avr_Dim1+4,""),IF(AND(YEAR(Avr_Dim1+11)=Année_Calendaire,MONTH(Avr_Dim1+11)=4),Avr_Dim1+11,""))</f>
        <v>42467</v>
      </c>
      <c r="P60" s="67">
        <f>IF(DAY(Avr_Dim1)=1,IF(AND(YEAR(Avr_Dim1+5)=Année_Calendaire,MONTH(Avr_Dim1+5)=4),Avr_Dim1+5,""),IF(AND(YEAR(Avr_Dim1+12)=Année_Calendaire,MONTH(Avr_Dim1+12)=4),Avr_Dim1+12,""))</f>
        <v>42468</v>
      </c>
      <c r="Q60" s="67">
        <f>IF(DAY(Avr_Dim1)=1,IF(AND(YEAR(Avr_Dim1+6)=Année_Calendaire,MONTH(Avr_Dim1+6)=4),Avr_Dim1+6,""),IF(AND(YEAR(Avr_Dim1+13)=Année_Calendaire,MONTH(Avr_Dim1+13)=4),Avr_Dim1+13,""))</f>
        <v>42469</v>
      </c>
      <c r="R60" s="67">
        <f>IF(DAY(Avr_Dim1)=1,IF(AND(YEAR(Avr_Dim1+7)=Année_Calendaire,MONTH(Avr_Dim1+7)=4),Avr_Dim1+7,""),IF(AND(YEAR(Avr_Dim1+14)=Année_Calendaire,MONTH(Avr_Dim1+14)=4),Avr_Dim1+14,""))</f>
        <v>42470</v>
      </c>
      <c r="S60" s="96"/>
      <c r="T60" s="87"/>
      <c r="U60" s="67">
        <f>IF(DAY(Avr_Dim1)=1,IF(AND(YEAR(Avr_Dim1+8)=Année_Calendaire,MONTH(Avr_Dim1+8)=4),Avr_Dim1+8,""),IF(AND(YEAR(Avr_Dim1+15)=Année_Calendaire,MONTH(Avr_Dim1+15)=4),Avr_Dim1+15,""))</f>
        <v>42471</v>
      </c>
      <c r="V60" s="67">
        <f>IF(DAY(Avr_Dim1)=1,IF(AND(YEAR(Avr_Dim1+9)=Année_Calendaire,MONTH(Avr_Dim1+9)=4),Avr_Dim1+9,""),IF(AND(YEAR(Avr_Dim1+16)=Année_Calendaire,MONTH(Avr_Dim1+16)=4),Avr_Dim1+16,""))</f>
        <v>42472</v>
      </c>
      <c r="W60" s="67">
        <f>IF(DAY(Avr_Dim1)=1,IF(AND(YEAR(Avr_Dim1+10)=Année_Calendaire,MONTH(Avr_Dim1+10)=4),Avr_Dim1+10,""),IF(AND(YEAR(Avr_Dim1+17)=Année_Calendaire,MONTH(Avr_Dim1+17)=4),Avr_Dim1+17,""))</f>
        <v>42473</v>
      </c>
      <c r="X60" s="67">
        <f>IF(DAY(Avr_Dim1)=1,IF(AND(YEAR(Avr_Dim1+11)=Année_Calendaire,MONTH(Avr_Dim1+11)=4),Avr_Dim1+11,""),IF(AND(YEAR(Avr_Dim1+18)=Année_Calendaire,MONTH(Avr_Dim1+18)=4),Avr_Dim1+18,""))</f>
        <v>42474</v>
      </c>
      <c r="Y60" s="67">
        <f>IF(DAY(Avr_Dim1)=1,IF(AND(YEAR(Avr_Dim1+12)=Année_Calendaire,MONTH(Avr_Dim1+12)=4),Avr_Dim1+12,""),IF(AND(YEAR(Avr_Dim1+19)=Année_Calendaire,MONTH(Avr_Dim1+19)=4),Avr_Dim1+19,""))</f>
        <v>42475</v>
      </c>
      <c r="Z60" s="67">
        <f>IF(DAY(Avr_Dim1)=1,IF(AND(YEAR(Avr_Dim1+13)=Année_Calendaire,MONTH(Avr_Dim1+13)=4),Avr_Dim1+13,""),IF(AND(YEAR(Avr_Dim1+20)=Année_Calendaire,MONTH(Avr_Dim1+20)=4),Avr_Dim1+20,""))</f>
        <v>42476</v>
      </c>
      <c r="AA60" s="67">
        <f>IF(DAY(Avr_Dim1)=1,IF(AND(YEAR(Avr_Dim1+14)=Année_Calendaire,MONTH(Avr_Dim1+14)=4),Avr_Dim1+14,""),IF(AND(YEAR(Avr_Dim1+21)=Année_Calendaire,MONTH(Avr_Dim1+21)=4),Avr_Dim1+21,""))</f>
        <v>42477</v>
      </c>
      <c r="AB60" s="96"/>
      <c r="AC60" s="87"/>
      <c r="AD60" s="67">
        <f>IF(DAY(Avr_Dim1)=1,IF(AND(YEAR(Avr_Dim1+15)=Année_Calendaire,MONTH(Avr_Dim1+15)=4),Avr_Dim1+15,""),IF(AND(YEAR(Avr_Dim1+22)=Année_Calendaire,MONTH(Avr_Dim1+22)=4),Avr_Dim1+22,""))</f>
        <v>42478</v>
      </c>
      <c r="AE60" s="67">
        <f>IF(DAY(Avr_Dim1)=1,IF(AND(YEAR(Avr_Dim1+16)=Année_Calendaire,MONTH(Avr_Dim1+16)=4),Avr_Dim1+16,""),IF(AND(YEAR(Avr_Dim1+23)=Année_Calendaire,MONTH(Avr_Dim1+23)=4),Avr_Dim1+23,""))</f>
        <v>42479</v>
      </c>
      <c r="AF60" s="67">
        <f>IF(DAY(Avr_Dim1)=1,IF(AND(YEAR(Avr_Dim1+17)=Année_Calendaire,MONTH(Avr_Dim1+17)=4),Avr_Dim1+17,""),IF(AND(YEAR(Avr_Dim1+24)=Année_Calendaire,MONTH(Avr_Dim1+24)=4),Avr_Dim1+24,""))</f>
        <v>42480</v>
      </c>
      <c r="AG60" s="67">
        <f>IF(DAY(Avr_Dim1)=1,IF(AND(YEAR(Avr_Dim1+18)=Année_Calendaire,MONTH(Avr_Dim1+18)=4),Avr_Dim1+18,""),IF(AND(YEAR(Avr_Dim1+25)=Année_Calendaire,MONTH(Avr_Dim1+25)=4),Avr_Dim1+25,""))</f>
        <v>42481</v>
      </c>
      <c r="AH60" s="67">
        <f>IF(DAY(Avr_Dim1)=1,IF(AND(YEAR(Avr_Dim1+19)=Année_Calendaire,MONTH(Avr_Dim1+19)=4),Avr_Dim1+19,""),IF(AND(YEAR(Avr_Dim1+26)=Année_Calendaire,MONTH(Avr_Dim1+26)=4),Avr_Dim1+26,""))</f>
        <v>42482</v>
      </c>
      <c r="AI60" s="67">
        <f>IF(DAY(Avr_Dim1)=1,IF(AND(YEAR(Avr_Dim1+20)=Année_Calendaire,MONTH(Avr_Dim1+20)=4),Avr_Dim1+20,""),IF(AND(YEAR(Avr_Dim1+27)=Année_Calendaire,MONTH(Avr_Dim1+27)=4),Avr_Dim1+27,""))</f>
        <v>42483</v>
      </c>
      <c r="AJ60" s="67">
        <f>IF(DAY(Avr_Dim1)=1,IF(AND(YEAR(Avr_Dim1+21)=Année_Calendaire,MONTH(Avr_Dim1+21)=4),Avr_Dim1+21,""),IF(AND(YEAR(Avr_Dim1+28)=Année_Calendaire,MONTH(Avr_Dim1+28)=4),Avr_Dim1+28,""))</f>
        <v>42484</v>
      </c>
      <c r="AK60" s="96"/>
      <c r="AL60" s="87"/>
      <c r="AM60" s="67">
        <f>IF(DAY(Avr_Dim1)=1,IF(AND(YEAR(Avr_Dim1+22)=Année_Calendaire,MONTH(Avr_Dim1+22)=4),Avr_Dim1+22,""),IF(AND(YEAR(Avr_Dim1+29)=Année_Calendaire,MONTH(Avr_Dim1+29)=4),Avr_Dim1+29,""))</f>
        <v>42485</v>
      </c>
      <c r="AN60" s="67">
        <f>IF(DAY(Avr_Dim1)=1,IF(AND(YEAR(Avr_Dim1+23)=Année_Calendaire,MONTH(Avr_Dim1+23)=4),Avr_Dim1+23,""),IF(AND(YEAR(Avr_Dim1+30)=Année_Calendaire,MONTH(Avr_Dim1+30)=4),Avr_Dim1+30,""))</f>
        <v>42486</v>
      </c>
      <c r="AO60" s="67">
        <f>IF(DAY(Avr_Dim1)=1,IF(AND(YEAR(Avr_Dim1+24)=Année_Calendaire,MONTH(Avr_Dim1+24)=4),Avr_Dim1+24,""),IF(AND(YEAR(Avr_Dim1+31)=Année_Calendaire,MONTH(Avr_Dim1+31)=4),Avr_Dim1+31,""))</f>
        <v>42487</v>
      </c>
      <c r="AP60" s="67">
        <f>IF(DAY(Avr_Dim1)=1,IF(AND(YEAR(Avr_Dim1+25)=Année_Calendaire,MONTH(Avr_Dim1+25)=4),Avr_Dim1+25,""),IF(AND(YEAR(Avr_Dim1+32)=Année_Calendaire,MONTH(Avr_Dim1+32)=4),Avr_Dim1+32,""))</f>
        <v>42488</v>
      </c>
      <c r="AQ60" s="67">
        <f>IF(DAY(Avr_Dim1)=1,IF(AND(YEAR(Avr_Dim1+26)=Année_Calendaire,MONTH(Avr_Dim1+26)=4),Avr_Dim1+26,""),IF(AND(YEAR(Avr_Dim1+33)=Année_Calendaire,MONTH(Avr_Dim1+33)=4),Avr_Dim1+33,""))</f>
        <v>42489</v>
      </c>
      <c r="AR60" s="67">
        <f>IF(DAY(Avr_Dim1)=1,IF(AND(YEAR(Avr_Dim1+27)=Année_Calendaire,MONTH(Avr_Dim1+27)=4),Avr_Dim1+27,""),IF(AND(YEAR(Avr_Dim1+34)=Année_Calendaire,MONTH(Avr_Dim1+34)=4),Avr_Dim1+34,""))</f>
        <v>42490</v>
      </c>
      <c r="AS60" s="67" t="str">
        <f>IF(DAY(Avr_Dim1)=1,IF(AND(YEAR(Avr_Dim1+28)=Année_Calendaire,MONTH(Avr_Dim1+28)=4),Avr_Dim1+28,""),IF(AND(YEAR(Avr_Dim1+35)=Année_Calendaire,MONTH(Avr_Dim1+35)=4),Avr_Dim1+35,""))</f>
        <v/>
      </c>
      <c r="AT60" s="96"/>
      <c r="AU60" s="87"/>
      <c r="AV60" s="61" t="str">
        <f>IF(DAY(Avr_Dim1)=1,IF(AND(YEAR(Avr_Dim1+29)=Année_Calendaire,MONTH(Avr_Dim1+29)=4),Avr_Dim1+29,""),IF(AND(YEAR(Avr_Dim1+36)=Année_Calendaire,MONTH(Avr_Dim1+36)=4),Avr_Dim1+36,""))</f>
        <v/>
      </c>
      <c r="AW60" s="61" t="str">
        <f>IF(DAY(Avr_Dim1)=1,IF(AND(YEAR(Avr_Dim1+30)=Année_Calendaire,MONTH(Avr_Dim1+30)=4),Avr_Dim1+30,""),IF(AND(YEAR(Avr_Dim1+37)=Année_Calendaire,MONTH(Avr_Dim1+37)=4),Avr_Dim1+37,""))</f>
        <v/>
      </c>
      <c r="AX60" s="96"/>
      <c r="AY60" s="96"/>
      <c r="AZ60" s="97"/>
      <c r="BA60" s="97"/>
      <c r="BB60" s="52"/>
      <c r="BC60" s="52"/>
      <c r="BD60" s="52"/>
      <c r="BE60" s="52"/>
      <c r="BF60" s="35"/>
    </row>
    <row r="61" spans="1:58" s="8" customFormat="1" ht="15" customHeight="1" x14ac:dyDescent="0.25">
      <c r="A61" s="21" t="s">
        <v>2</v>
      </c>
      <c r="B61" s="81"/>
      <c r="C61" s="31"/>
      <c r="D61" s="31"/>
      <c r="E61" s="31"/>
      <c r="F61" s="31"/>
      <c r="G61" s="31"/>
      <c r="H61" s="31"/>
      <c r="I61" s="31"/>
      <c r="J61" s="60"/>
      <c r="K61" s="60"/>
      <c r="L61" s="31"/>
      <c r="M61" s="31"/>
      <c r="N61" s="31"/>
      <c r="O61" s="31"/>
      <c r="P61" s="31"/>
      <c r="Q61" s="31"/>
      <c r="R61" s="31"/>
      <c r="S61" s="60"/>
      <c r="T61" s="60"/>
      <c r="U61" s="31"/>
      <c r="V61" s="31"/>
      <c r="W61" s="31"/>
      <c r="X61" s="31"/>
      <c r="Y61" s="31"/>
      <c r="Z61" s="31"/>
      <c r="AA61" s="31"/>
      <c r="AB61" s="60"/>
      <c r="AC61" s="60"/>
      <c r="AD61" s="31"/>
      <c r="AE61" s="31"/>
      <c r="AF61" s="31"/>
      <c r="AG61" s="31"/>
      <c r="AH61" s="31"/>
      <c r="AI61" s="31"/>
      <c r="AJ61" s="31"/>
      <c r="AK61" s="60"/>
      <c r="AL61" s="60"/>
      <c r="AM61" s="31"/>
      <c r="AN61" s="31"/>
      <c r="AO61" s="31"/>
      <c r="AP61" s="31"/>
      <c r="AQ61" s="31"/>
      <c r="AR61" s="31"/>
      <c r="AS61" s="31"/>
      <c r="AT61" s="60"/>
      <c r="AU61" s="60"/>
      <c r="AV61" s="31"/>
      <c r="AW61" s="31"/>
      <c r="AX61" s="60"/>
      <c r="AY61" s="63"/>
      <c r="AZ61" s="52"/>
      <c r="BA61" s="52"/>
      <c r="BB61" s="52"/>
      <c r="BC61" s="52"/>
      <c r="BD61" s="52"/>
      <c r="BE61" s="52"/>
      <c r="BF61" s="35"/>
    </row>
    <row r="62" spans="1:58" s="8" customFormat="1" ht="15" customHeight="1" x14ac:dyDescent="0.25">
      <c r="A62" s="21" t="s">
        <v>12</v>
      </c>
      <c r="B62" s="81"/>
      <c r="C62" s="60">
        <f t="shared" ref="C62:I62" si="90">IF(C61="Matin",1,IF(C61="AM",1,0))</f>
        <v>0</v>
      </c>
      <c r="D62" s="60">
        <f t="shared" si="90"/>
        <v>0</v>
      </c>
      <c r="E62" s="60">
        <f t="shared" si="90"/>
        <v>0</v>
      </c>
      <c r="F62" s="60">
        <f t="shared" si="90"/>
        <v>0</v>
      </c>
      <c r="G62" s="60">
        <f t="shared" si="90"/>
        <v>0</v>
      </c>
      <c r="H62" s="60">
        <f t="shared" si="90"/>
        <v>0</v>
      </c>
      <c r="I62" s="60">
        <f t="shared" si="90"/>
        <v>0</v>
      </c>
      <c r="J62" s="60">
        <f>SUM(C62:I62)</f>
        <v>0</v>
      </c>
      <c r="K62" s="60"/>
      <c r="L62" s="60">
        <f t="shared" ref="L62:R62" si="91">IF(L61="Matin",1,IF(L61="AM",1,0))</f>
        <v>0</v>
      </c>
      <c r="M62" s="60">
        <f t="shared" si="91"/>
        <v>0</v>
      </c>
      <c r="N62" s="60">
        <f t="shared" si="91"/>
        <v>0</v>
      </c>
      <c r="O62" s="60">
        <f t="shared" si="91"/>
        <v>0</v>
      </c>
      <c r="P62" s="60">
        <f t="shared" si="91"/>
        <v>0</v>
      </c>
      <c r="Q62" s="60">
        <f t="shared" si="91"/>
        <v>0</v>
      </c>
      <c r="R62" s="60">
        <f t="shared" si="91"/>
        <v>0</v>
      </c>
      <c r="S62" s="60">
        <f>SUM(L62:R62)</f>
        <v>0</v>
      </c>
      <c r="T62" s="60"/>
      <c r="U62" s="60">
        <f t="shared" ref="U62:AA62" si="92">IF(U61="Matin",1,IF(U61="AM",1,0))</f>
        <v>0</v>
      </c>
      <c r="V62" s="60">
        <f t="shared" si="92"/>
        <v>0</v>
      </c>
      <c r="W62" s="60">
        <f t="shared" si="92"/>
        <v>0</v>
      </c>
      <c r="X62" s="60">
        <f t="shared" si="92"/>
        <v>0</v>
      </c>
      <c r="Y62" s="60">
        <f t="shared" si="92"/>
        <v>0</v>
      </c>
      <c r="Z62" s="60">
        <f t="shared" si="92"/>
        <v>0</v>
      </c>
      <c r="AA62" s="60">
        <f t="shared" si="92"/>
        <v>0</v>
      </c>
      <c r="AB62" s="60">
        <f>SUM(U62:AA62)</f>
        <v>0</v>
      </c>
      <c r="AC62" s="60"/>
      <c r="AD62" s="60">
        <f t="shared" ref="AD62:AJ62" si="93">IF(AD61="Matin",1,IF(AD61="AM",1,0))</f>
        <v>0</v>
      </c>
      <c r="AE62" s="60">
        <f t="shared" si="93"/>
        <v>0</v>
      </c>
      <c r="AF62" s="60">
        <f t="shared" si="93"/>
        <v>0</v>
      </c>
      <c r="AG62" s="60">
        <f t="shared" si="93"/>
        <v>0</v>
      </c>
      <c r="AH62" s="60">
        <f t="shared" si="93"/>
        <v>0</v>
      </c>
      <c r="AI62" s="60">
        <f t="shared" si="93"/>
        <v>0</v>
      </c>
      <c r="AJ62" s="60">
        <f t="shared" si="93"/>
        <v>0</v>
      </c>
      <c r="AK62" s="60">
        <f>SUM(AD62:AJ62)</f>
        <v>0</v>
      </c>
      <c r="AL62" s="60"/>
      <c r="AM62" s="60">
        <f t="shared" ref="AM62:AS62" si="94">IF(AM61="Matin",1,IF(AM61="AM",1,0))</f>
        <v>0</v>
      </c>
      <c r="AN62" s="60">
        <f t="shared" si="94"/>
        <v>0</v>
      </c>
      <c r="AO62" s="60">
        <f t="shared" si="94"/>
        <v>0</v>
      </c>
      <c r="AP62" s="60">
        <f t="shared" si="94"/>
        <v>0</v>
      </c>
      <c r="AQ62" s="60">
        <f t="shared" si="94"/>
        <v>0</v>
      </c>
      <c r="AR62" s="60">
        <f t="shared" si="94"/>
        <v>0</v>
      </c>
      <c r="AS62" s="60">
        <f t="shared" si="94"/>
        <v>0</v>
      </c>
      <c r="AT62" s="60">
        <f>SUM(AM62:AS62)</f>
        <v>0</v>
      </c>
      <c r="AU62" s="60"/>
      <c r="AV62" s="60">
        <f t="shared" ref="AV62:AW62" si="95">IF(AV61="Matin",1,IF(AV61="AM",1,0))</f>
        <v>0</v>
      </c>
      <c r="AW62" s="60">
        <f t="shared" si="95"/>
        <v>0</v>
      </c>
      <c r="AX62" s="60">
        <f t="shared" ref="AX62:AX69" si="96">SUM(AV62:AW62)</f>
        <v>0</v>
      </c>
      <c r="AY62" s="60">
        <f>J62+S62+AB62+AK62+AT62+AX62</f>
        <v>0</v>
      </c>
      <c r="AZ62" s="52"/>
      <c r="BA62" s="52"/>
      <c r="BB62" s="52"/>
      <c r="BC62" s="52"/>
      <c r="BD62" s="52"/>
      <c r="BE62" s="52"/>
      <c r="BF62" s="35"/>
    </row>
    <row r="63" spans="1:58" s="8" customFormat="1" ht="15" customHeight="1" x14ac:dyDescent="0.25">
      <c r="A63" s="21" t="s">
        <v>4</v>
      </c>
      <c r="B63" s="81"/>
      <c r="C63" s="60">
        <f>IF(C64&gt;=1,1,0)</f>
        <v>0</v>
      </c>
      <c r="D63" s="60">
        <f>IF(D64&gt;=1,1,0)</f>
        <v>0</v>
      </c>
      <c r="E63" s="60">
        <f t="shared" ref="E63:I63" si="97">IF(E64&gt;=1,1,0)</f>
        <v>0</v>
      </c>
      <c r="F63" s="60">
        <f t="shared" si="97"/>
        <v>0</v>
      </c>
      <c r="G63" s="60">
        <f t="shared" si="97"/>
        <v>0</v>
      </c>
      <c r="H63" s="60">
        <f t="shared" si="97"/>
        <v>0</v>
      </c>
      <c r="I63" s="60">
        <f t="shared" si="97"/>
        <v>0</v>
      </c>
      <c r="J63" s="60">
        <f t="shared" ref="J63:J73" si="98">SUM(C63:I63)</f>
        <v>0</v>
      </c>
      <c r="K63" s="60"/>
      <c r="L63" s="60">
        <f>IF(L64&gt;=1,1,0)</f>
        <v>0</v>
      </c>
      <c r="M63" s="60">
        <f t="shared" ref="M63:R63" si="99">IF(M64&gt;=1,1,0)</f>
        <v>0</v>
      </c>
      <c r="N63" s="60">
        <f t="shared" si="99"/>
        <v>0</v>
      </c>
      <c r="O63" s="60">
        <f t="shared" si="99"/>
        <v>0</v>
      </c>
      <c r="P63" s="60">
        <f t="shared" si="99"/>
        <v>0</v>
      </c>
      <c r="Q63" s="60">
        <f t="shared" si="99"/>
        <v>0</v>
      </c>
      <c r="R63" s="60">
        <f t="shared" si="99"/>
        <v>0</v>
      </c>
      <c r="S63" s="60">
        <f t="shared" ref="S63:S73" si="100">SUM(L63:R63)</f>
        <v>0</v>
      </c>
      <c r="T63" s="60"/>
      <c r="U63" s="60">
        <f>IF(U64&gt;=1,1,0)</f>
        <v>0</v>
      </c>
      <c r="V63" s="60">
        <f t="shared" ref="V63:AA63" si="101">IF(V64&gt;=1,1,0)</f>
        <v>0</v>
      </c>
      <c r="W63" s="60">
        <f t="shared" si="101"/>
        <v>0</v>
      </c>
      <c r="X63" s="60">
        <f t="shared" si="101"/>
        <v>0</v>
      </c>
      <c r="Y63" s="60">
        <f t="shared" si="101"/>
        <v>0</v>
      </c>
      <c r="Z63" s="60">
        <f t="shared" si="101"/>
        <v>0</v>
      </c>
      <c r="AA63" s="60">
        <f t="shared" si="101"/>
        <v>0</v>
      </c>
      <c r="AB63" s="60">
        <f t="shared" ref="AB63:AB73" si="102">SUM(U63:AA63)</f>
        <v>0</v>
      </c>
      <c r="AC63" s="60"/>
      <c r="AD63" s="60">
        <f>IF(AD64&gt;=1,1,0)</f>
        <v>0</v>
      </c>
      <c r="AE63" s="60">
        <f t="shared" ref="AE63:AJ63" si="103">IF(AE64&gt;=1,1,0)</f>
        <v>0</v>
      </c>
      <c r="AF63" s="60">
        <f t="shared" si="103"/>
        <v>0</v>
      </c>
      <c r="AG63" s="60">
        <f t="shared" si="103"/>
        <v>0</v>
      </c>
      <c r="AH63" s="60">
        <f t="shared" si="103"/>
        <v>0</v>
      </c>
      <c r="AI63" s="60">
        <f t="shared" si="103"/>
        <v>0</v>
      </c>
      <c r="AJ63" s="60">
        <f t="shared" si="103"/>
        <v>0</v>
      </c>
      <c r="AK63" s="60">
        <f t="shared" ref="AK63:AK73" si="104">SUM(AD63:AJ63)</f>
        <v>0</v>
      </c>
      <c r="AL63" s="60"/>
      <c r="AM63" s="60">
        <f>IF(AM64&gt;=1,1,0)</f>
        <v>0</v>
      </c>
      <c r="AN63" s="60">
        <f t="shared" ref="AN63:AS63" si="105">IF(AN64&gt;=1,1,0)</f>
        <v>0</v>
      </c>
      <c r="AO63" s="60">
        <f t="shared" si="105"/>
        <v>0</v>
      </c>
      <c r="AP63" s="60">
        <f t="shared" si="105"/>
        <v>0</v>
      </c>
      <c r="AQ63" s="60">
        <f t="shared" si="105"/>
        <v>0</v>
      </c>
      <c r="AR63" s="60">
        <f t="shared" si="105"/>
        <v>0</v>
      </c>
      <c r="AS63" s="60">
        <f t="shared" si="105"/>
        <v>0</v>
      </c>
      <c r="AT63" s="60">
        <f t="shared" ref="AT63:AT73" si="106">SUM(AM63:AS63)</f>
        <v>0</v>
      </c>
      <c r="AU63" s="60"/>
      <c r="AV63" s="60">
        <f>IF(AV64&gt;=1,1,0)</f>
        <v>0</v>
      </c>
      <c r="AW63" s="60">
        <f t="shared" ref="AW63" si="107">IF(AW64&gt;=1,1,0)</f>
        <v>0</v>
      </c>
      <c r="AX63" s="60">
        <f t="shared" si="96"/>
        <v>0</v>
      </c>
      <c r="AY63" s="60">
        <f t="shared" ref="AY63:AY72" si="108">J63+S63+AB63+AK63+AT63+AX63</f>
        <v>0</v>
      </c>
      <c r="AZ63" s="52"/>
      <c r="BA63" s="52"/>
      <c r="BB63" s="52"/>
      <c r="BC63" s="52"/>
      <c r="BD63" s="52"/>
      <c r="BE63" s="52"/>
      <c r="BF63" s="35"/>
    </row>
    <row r="64" spans="1:58" s="8" customFormat="1" ht="15" customHeight="1" x14ac:dyDescent="0.25">
      <c r="A64" s="21" t="s">
        <v>3</v>
      </c>
      <c r="B64" s="81"/>
      <c r="C64" s="31"/>
      <c r="D64" s="31"/>
      <c r="E64" s="31"/>
      <c r="F64" s="31"/>
      <c r="G64" s="31"/>
      <c r="H64" s="31"/>
      <c r="I64" s="31"/>
      <c r="J64" s="60">
        <f t="shared" si="98"/>
        <v>0</v>
      </c>
      <c r="K64" s="60"/>
      <c r="L64" s="31"/>
      <c r="M64" s="31"/>
      <c r="N64" s="31"/>
      <c r="O64" s="31"/>
      <c r="P64" s="31"/>
      <c r="Q64" s="31"/>
      <c r="R64" s="31"/>
      <c r="S64" s="60">
        <f t="shared" si="100"/>
        <v>0</v>
      </c>
      <c r="T64" s="60"/>
      <c r="U64" s="31"/>
      <c r="V64" s="31"/>
      <c r="W64" s="31"/>
      <c r="X64" s="31"/>
      <c r="Y64" s="31"/>
      <c r="Z64" s="31"/>
      <c r="AA64" s="31"/>
      <c r="AB64" s="60">
        <f t="shared" si="102"/>
        <v>0</v>
      </c>
      <c r="AC64" s="60"/>
      <c r="AD64" s="31"/>
      <c r="AE64" s="31"/>
      <c r="AF64" s="31"/>
      <c r="AG64" s="31"/>
      <c r="AH64" s="31"/>
      <c r="AI64" s="31"/>
      <c r="AJ64" s="31"/>
      <c r="AK64" s="60">
        <f t="shared" si="104"/>
        <v>0</v>
      </c>
      <c r="AL64" s="60"/>
      <c r="AM64" s="31"/>
      <c r="AN64" s="31"/>
      <c r="AO64" s="31"/>
      <c r="AP64" s="31"/>
      <c r="AQ64" s="31"/>
      <c r="AR64" s="31"/>
      <c r="AS64" s="31"/>
      <c r="AT64" s="60">
        <f t="shared" si="106"/>
        <v>0</v>
      </c>
      <c r="AU64" s="60"/>
      <c r="AV64" s="31"/>
      <c r="AW64" s="31"/>
      <c r="AX64" s="60">
        <f t="shared" si="96"/>
        <v>0</v>
      </c>
      <c r="AY64" s="60">
        <f t="shared" si="108"/>
        <v>0</v>
      </c>
      <c r="AZ64" s="53"/>
      <c r="BA64" s="53"/>
      <c r="BB64" s="53"/>
      <c r="BC64" s="53"/>
      <c r="BD64" s="42"/>
      <c r="BE64" s="42"/>
      <c r="BF64" s="32"/>
    </row>
    <row r="65" spans="1:58" s="7" customFormat="1" ht="15" customHeight="1" x14ac:dyDescent="0.25">
      <c r="A65" s="36" t="s">
        <v>20</v>
      </c>
      <c r="B65" s="82"/>
      <c r="C65" s="66">
        <f>IF(C59&lt;&gt;"Dim",IF(C64&gt;32,MIN(C64,35)-32,0),0)</f>
        <v>0</v>
      </c>
      <c r="D65" s="66">
        <f>IF(D59&lt;&gt;"Dim",IF(SUM($C64:D64)&gt;32,MIN(SUM($C64:D64),35)-32-SUM($C65:C65),0),0)</f>
        <v>0</v>
      </c>
      <c r="E65" s="66">
        <f>IF(E59&lt;&gt;"Dim",IF(SUM($C64:E64)&gt;32,MIN(SUM($C64:E64),35)-32-SUM($C65:D65),0),0)</f>
        <v>0</v>
      </c>
      <c r="F65" s="66">
        <f>IF(F59&lt;&gt;"Dim",IF(SUM($C64:F64)&gt;32,MIN(SUM($C64:F64),35)-32-SUM($C65:E65),0),0)</f>
        <v>0</v>
      </c>
      <c r="G65" s="66">
        <f>IF(G59&lt;&gt;"Dim",IF(SUM($C64:G64)&gt;32,MIN(SUM($C64:G64),35)-32-SUM($C65:F65),0),0)</f>
        <v>0</v>
      </c>
      <c r="H65" s="66">
        <f>IF(H59&lt;&gt;"Dim",IF(SUM($C64:H64)&gt;32,MIN(SUM($C64:H64),35)-32-SUM($C65:G65),0),0)</f>
        <v>0</v>
      </c>
      <c r="I65" s="66">
        <f>IF(I59&lt;&gt;"Dim",IF(SUM($C64:I64)&gt;32,MIN(SUM($C64:I64),35)-32-SUM($C65:H65),0),0)</f>
        <v>0</v>
      </c>
      <c r="J65" s="60">
        <f t="shared" si="98"/>
        <v>0</v>
      </c>
      <c r="K65" s="60"/>
      <c r="L65" s="66">
        <f>IF(L59&lt;&gt;"Dim",IF(L64&gt;32,MIN(L64,35)-32,0),0)</f>
        <v>0</v>
      </c>
      <c r="M65" s="66">
        <f>IF(M59&lt;&gt;"Dim",IF(SUM($L64:M64)&gt;32,MIN(SUM($L64:M64),35)-32-SUM($L65:L65),0),0)</f>
        <v>0</v>
      </c>
      <c r="N65" s="66">
        <f>IF(N59&lt;&gt;"Dim",IF(SUM($L64:N64)&gt;32,MIN(SUM($L64:N64),35)-32-SUM($L65:M65),0),0)</f>
        <v>0</v>
      </c>
      <c r="O65" s="66">
        <f>IF(O59&lt;&gt;"Dim",IF(SUM($L64:O64)&gt;32,MIN(SUM($L64:O64),35)-32-SUM($L65:N65),0),0)</f>
        <v>0</v>
      </c>
      <c r="P65" s="66">
        <f>IF(P59&lt;&gt;"Dim",IF(SUM($L64:P64)&gt;32,MIN(SUM($L64:P64),35)-32-SUM($L65:O65),0),0)</f>
        <v>0</v>
      </c>
      <c r="Q65" s="66">
        <f>IF(Q59&lt;&gt;"Dim",IF(SUM($L64:Q64)&gt;32,MIN(SUM($L64:Q64),35)-32-SUM($L65:P65),0),0)</f>
        <v>0</v>
      </c>
      <c r="R65" s="66">
        <f>IF(R59&lt;&gt;"Dim",IF(SUM($L64:R64)&gt;32,MIN(SUM($L64:R64),35)-32-SUM($L65:Q65),0),0)</f>
        <v>0</v>
      </c>
      <c r="S65" s="60">
        <f t="shared" si="100"/>
        <v>0</v>
      </c>
      <c r="T65" s="60"/>
      <c r="U65" s="66">
        <f>IF(U59&lt;&gt;"Dim",IF(U64&gt;32,MIN(U64,35)-32,0),0)</f>
        <v>0</v>
      </c>
      <c r="V65" s="66">
        <f>IF(V59&lt;&gt;"Dim",IF(SUM($U64:V64)&gt;32,MIN(SUM($U64:V64),35)-32-SUM($U65:U65),0),0)</f>
        <v>0</v>
      </c>
      <c r="W65" s="66">
        <f>IF(W59&lt;&gt;"Dim",IF(SUM($U64:W64)&gt;32,MIN(SUM($U64:W64),35)-32-SUM($U65:V65),0),0)</f>
        <v>0</v>
      </c>
      <c r="X65" s="66">
        <f>IF(X59&lt;&gt;"Dim",IF(SUM($U64:X64)&gt;32,MIN(SUM($U64:X64),35)-32-SUM($U65:W65),0),0)</f>
        <v>0</v>
      </c>
      <c r="Y65" s="66">
        <f>IF(Y59&lt;&gt;"Dim",IF(SUM($U64:Y64)&gt;32,MIN(SUM($U64:Y64),35)-32-SUM($U65:X65),0),0)</f>
        <v>0</v>
      </c>
      <c r="Z65" s="66">
        <f>IF(Z59&lt;&gt;"Dim",IF(SUM($U64:Z64)&gt;32,MIN(SUM($U64:Z64),35)-32-SUM($U65:Y65),0),0)</f>
        <v>0</v>
      </c>
      <c r="AA65" s="66">
        <f>IF(AA59&lt;&gt;"Dim",IF(SUM($U64:AA64)&gt;32,MIN(SUM($U64:AA64),35)-32-SUM($U65:Z65),0),0)</f>
        <v>0</v>
      </c>
      <c r="AB65" s="60">
        <f t="shared" si="102"/>
        <v>0</v>
      </c>
      <c r="AC65" s="60"/>
      <c r="AD65" s="66">
        <f>IF(AD59&lt;&gt;"Dim",IF(AD64&gt;32,MIN(AD64,35)-32,0),0)</f>
        <v>0</v>
      </c>
      <c r="AE65" s="66">
        <f>IF(AE59&lt;&gt;"Dim",IF(SUM($AD64:AE64)&gt;32,MIN(SUM($AD64:AE64),35)-32-SUM($AD65:AD65),0),0)</f>
        <v>0</v>
      </c>
      <c r="AF65" s="66">
        <f>IF(AF59&lt;&gt;"Dim",IF(SUM($AD64:AF64)&gt;32,MIN(SUM($AD64:AF64),35)-32-SUM($AD65:AE65),0),0)</f>
        <v>0</v>
      </c>
      <c r="AG65" s="66">
        <f>IF(AG59&lt;&gt;"Dim",IF(SUM($AD64:AG64)&gt;32,MIN(SUM($AD64:AG64),35)-32-SUM($AD65:AF65),0),0)</f>
        <v>0</v>
      </c>
      <c r="AH65" s="66">
        <f>IF(AH59&lt;&gt;"Dim",IF(SUM($AD64:AH64)&gt;32,MIN(SUM($AD64:AH64),35)-32-SUM($AD65:AG65),0),0)</f>
        <v>0</v>
      </c>
      <c r="AI65" s="66">
        <f>IF(AI59&lt;&gt;"Dim",IF(SUM($AD64:AI64)&gt;32,MIN(SUM($AD64:AI64),35)-32-SUM($AD65:AH65),0),0)</f>
        <v>0</v>
      </c>
      <c r="AJ65" s="66">
        <f>IF(AJ59&lt;&gt;"Dim",IF(SUM($AD64:AJ64)&gt;32,MIN(SUM($AD64:AJ64),35)-32-SUM($AD65:AI65),0),0)</f>
        <v>0</v>
      </c>
      <c r="AK65" s="60">
        <f t="shared" si="104"/>
        <v>0</v>
      </c>
      <c r="AL65" s="60"/>
      <c r="AM65" s="66">
        <f>IF(AM59&lt;&gt;"Dim",IF(AM64&gt;32,MIN(AM64,35)-32,0),0)</f>
        <v>0</v>
      </c>
      <c r="AN65" s="66">
        <f>IF(AN59&lt;&gt;"Dim",IF(SUM($AM64:AN64)&gt;32,MIN(SUM($AM64:AN64),35)-32-SUM($AM65:AM65),0),0)</f>
        <v>0</v>
      </c>
      <c r="AO65" s="66">
        <f>IF(AO59&lt;&gt;"Dim",IF(SUM($AM64:AO64)&gt;32,MIN(SUM($AM64:AO64),35)-32-SUM($AM65:AN65),0),0)</f>
        <v>0</v>
      </c>
      <c r="AP65" s="66">
        <f>IF(AP59&lt;&gt;"Dim",IF(SUM($AM64:AP64)&gt;32,MIN(SUM($AM64:AP64),35)-32-SUM($AM65:AO65),0),0)</f>
        <v>0</v>
      </c>
      <c r="AQ65" s="66">
        <f>IF(AQ59&lt;&gt;"Dim",IF(SUM($AM64:AQ64)&gt;32,MIN(SUM($AM64:AQ64),35)-32-SUM($AM65:AP65),0),0)</f>
        <v>0</v>
      </c>
      <c r="AR65" s="66">
        <f>IF(AR59&lt;&gt;"Dim",IF(SUM($AM64:AR64)&gt;32,MIN(SUM($AM64:AR64),35)-32-SUM($AM65:AQ65),0),0)</f>
        <v>0</v>
      </c>
      <c r="AS65" s="66">
        <f>IF(AS59&lt;&gt;"Dim",IF(SUM($AM64:AS64)&gt;32,MIN(SUM($AM64:AS64),35)-32-SUM($AM65:AR65),0),0)</f>
        <v>0</v>
      </c>
      <c r="AT65" s="60">
        <f t="shared" si="106"/>
        <v>0</v>
      </c>
      <c r="AU65" s="60"/>
      <c r="AV65" s="66">
        <f>IF(AV59&lt;&gt;"Dim",IF(AV64&gt;32,MIN(AV64,35)-32,0),0)</f>
        <v>0</v>
      </c>
      <c r="AW65" s="66">
        <f>IF(AW59&lt;&gt;"Dim",IF(SUM($AV64:AW64)&gt;32,MIN(SUM($AV64:AW64),35)-32-SUM($AV65:AV65),0),0)</f>
        <v>0</v>
      </c>
      <c r="AX65" s="60">
        <f t="shared" si="96"/>
        <v>0</v>
      </c>
      <c r="AY65" s="60">
        <f t="shared" si="108"/>
        <v>0</v>
      </c>
      <c r="AZ65" s="40"/>
      <c r="BA65" s="40"/>
      <c r="BB65" s="40"/>
      <c r="BC65" s="40"/>
      <c r="BD65" s="40"/>
      <c r="BE65" s="40"/>
      <c r="BF65" s="29"/>
    </row>
    <row r="66" spans="1:58" s="7" customFormat="1" ht="15" customHeight="1" x14ac:dyDescent="0.25">
      <c r="A66" s="21" t="s">
        <v>6</v>
      </c>
      <c r="B66" s="81"/>
      <c r="C66" s="66">
        <f>IF(C59&lt;&gt;"Dim",IF(C64&gt;35,(MIN(C64,43)-35),0),0)</f>
        <v>0</v>
      </c>
      <c r="D66" s="66">
        <f>IF(D59&lt;&gt;"Dim",IF(SUM($C64:D64)&gt;35,(MIN(SUM($C64:D64),43)-35-SUM($C66:C66)),0),0)</f>
        <v>0</v>
      </c>
      <c r="E66" s="66">
        <f>IF(E59&lt;&gt;"Dim",IF(SUM($C64:E64)&gt;35,(MIN(SUM($C64:E64),43)-35-SUM($C66:D66)),0),0)</f>
        <v>0</v>
      </c>
      <c r="F66" s="66">
        <f>IF(F59&lt;&gt;"Dim",IF(SUM($C64:F64)&gt;35,(MIN(SUM($C64:F64),43)-35-SUM($C66:E66)),0),0)</f>
        <v>0</v>
      </c>
      <c r="G66" s="66">
        <f>IF(G59&lt;&gt;"Dim",IF(SUM($C64:G64)&gt;35,(MIN(SUM($C64:G64),43)-35-SUM($C66:F66)),0),0)</f>
        <v>0</v>
      </c>
      <c r="H66" s="66">
        <f>IF(H59&lt;&gt;"Dim",IF(SUM($C64:H64)&gt;35,(MIN(SUM($C64:H64),43)-35-SUM($C66:G66)),0),0)</f>
        <v>0</v>
      </c>
      <c r="I66" s="66">
        <f>IF(I59&lt;&gt;"Dim",IF(SUM($C64:I64)&gt;35,(MIN(SUM($C64:I64),43)-35-SUM($C66:H66)),0),0)</f>
        <v>0</v>
      </c>
      <c r="J66" s="60">
        <f t="shared" si="98"/>
        <v>0</v>
      </c>
      <c r="K66" s="60"/>
      <c r="L66" s="66">
        <f>IF(L59&lt;&gt;"Dim",IF(L64&gt;35,(MIN(L64,43)-35),0),0)</f>
        <v>0</v>
      </c>
      <c r="M66" s="66">
        <f>IF(M59&lt;&gt;"Dim",IF(SUM($L64:M64)&gt;35,(MIN(SUM($L64:M64),43)-35-SUM($L66:L66)),0),0)</f>
        <v>0</v>
      </c>
      <c r="N66" s="66">
        <f>IF(N59&lt;&gt;"Dim",IF(SUM($L64:N64)&gt;35,(MIN(SUM($L64:N64),43)-35-SUM($L66:M66)),0),0)</f>
        <v>0</v>
      </c>
      <c r="O66" s="66">
        <f>IF(O59&lt;&gt;"Dim",IF(SUM($L64:O64)&gt;35,(MIN(SUM($L64:O64),43)-35-SUM($L66:N66)),0),0)</f>
        <v>0</v>
      </c>
      <c r="P66" s="66">
        <f>IF(P59&lt;&gt;"Dim",IF(SUM($L64:P64)&gt;35,(MIN(SUM($L64:P64),43)-35-SUM($L66:O66)),0),0)</f>
        <v>0</v>
      </c>
      <c r="Q66" s="66">
        <f>IF(Q59&lt;&gt;"Dim",IF(SUM($L64:Q64)&gt;35,(MIN(SUM($L64:Q64),43)-35-SUM($L66:P66)),0),0)</f>
        <v>0</v>
      </c>
      <c r="R66" s="66">
        <f>IF(R59&lt;&gt;"Dim",IF(SUM($L64:R64)&gt;35,(MIN(SUM($L64:R64),43)-35-SUM($L66:Q66)),0),0)</f>
        <v>0</v>
      </c>
      <c r="S66" s="60">
        <f t="shared" si="100"/>
        <v>0</v>
      </c>
      <c r="T66" s="60"/>
      <c r="U66" s="66">
        <f>IF(U59&lt;&gt;"Dim",IF(U64&gt;35,(MIN(U64,43)-35),0),0)</f>
        <v>0</v>
      </c>
      <c r="V66" s="66">
        <f>IF(V59&lt;&gt;"Dim",IF(SUM($U64:V64)&gt;35,(MIN(SUM($U64:V64),43)-35-SUM($U66:U66)),0),0)</f>
        <v>0</v>
      </c>
      <c r="W66" s="66">
        <f>IF(W59&lt;&gt;"Dim",IF(SUM($U64:W64)&gt;35,(MIN(SUM($U64:W64),43)-35-SUM($U66:V66)),0),0)</f>
        <v>0</v>
      </c>
      <c r="X66" s="66">
        <f>IF(X59&lt;&gt;"Dim",IF(SUM($U64:X64)&gt;35,(MIN(SUM($U64:X64),43)-35-SUM($U66:W66)),0),0)</f>
        <v>0</v>
      </c>
      <c r="Y66" s="66">
        <f>IF(Y59&lt;&gt;"Dim",IF(SUM($U64:Y64)&gt;35,(MIN(SUM($U64:Y64),43)-35-SUM($U66:X66)),0),0)</f>
        <v>0</v>
      </c>
      <c r="Z66" s="66">
        <f>IF(Z59&lt;&gt;"Dim",IF(SUM($U64:Z64)&gt;35,(MIN(SUM($U64:Z64),43)-35-SUM($U66:Y66)),0),0)</f>
        <v>0</v>
      </c>
      <c r="AA66" s="66">
        <f>IF(AA59&lt;&gt;"Dim",IF(SUM($U64:AA64)&gt;35,(MIN(SUM($U64:AA64),43)-35-SUM($U66:Z66)),0),0)</f>
        <v>0</v>
      </c>
      <c r="AB66" s="60">
        <f t="shared" si="102"/>
        <v>0</v>
      </c>
      <c r="AC66" s="60"/>
      <c r="AD66" s="66">
        <f>IF(AD59&lt;&gt;"Dim",IF(AD64&gt;35,(MIN(AD64,43)-35),0),0)</f>
        <v>0</v>
      </c>
      <c r="AE66" s="66">
        <f>IF(AE59&lt;&gt;"Dim",IF(SUM($AD64:AE64)&gt;35,(MIN(SUM($AD64:AE64),43)-35-SUM($AD66:AD66)),0),0)</f>
        <v>0</v>
      </c>
      <c r="AF66" s="66">
        <f>IF(AF59&lt;&gt;"Dim",IF(SUM($AD64:AF64)&gt;35,(MIN(SUM($AD64:AF64),43)-35-SUM($AD66:AE66)),0),0)</f>
        <v>0</v>
      </c>
      <c r="AG66" s="66">
        <f>IF(AG59&lt;&gt;"Dim",IF(SUM($AD64:AG64)&gt;35,(MIN(SUM($AD64:AG64),43)-35-SUM($AD66:AF66)),0),0)</f>
        <v>0</v>
      </c>
      <c r="AH66" s="66">
        <f>IF(AH59&lt;&gt;"Dim",IF(SUM($AD64:AH64)&gt;35,(MIN(SUM($AD64:AH64),43)-35-SUM($AD66:AG66)),0),0)</f>
        <v>0</v>
      </c>
      <c r="AI66" s="66">
        <f>IF(AI59&lt;&gt;"Dim",IF(SUM($AD64:AI64)&gt;35,(MIN(SUM($AD64:AI64),43)-35-SUM($AD66:AH66)),0),0)</f>
        <v>0</v>
      </c>
      <c r="AJ66" s="66">
        <f>IF(AJ59&lt;&gt;"Dim",IF(SUM($AD64:AJ64)&gt;35,(MIN(SUM($AD64:AJ64),43)-35-SUM($AD66:AI66)),0),0)</f>
        <v>0</v>
      </c>
      <c r="AK66" s="60">
        <f t="shared" si="104"/>
        <v>0</v>
      </c>
      <c r="AL66" s="60"/>
      <c r="AM66" s="66">
        <f>IF(AM59&lt;&gt;"Dim",IF(AM64&gt;35,(MIN(AM64,43)-35),0),0)</f>
        <v>0</v>
      </c>
      <c r="AN66" s="66">
        <f>IF(AN59&lt;&gt;"Dim",IF(SUM($AM64:AN64)&gt;35,(MIN(SUM($AM64:AN64),43)-35-SUM($AM66:AM66)),0),0)</f>
        <v>0</v>
      </c>
      <c r="AO66" s="66">
        <f>IF(AO59&lt;&gt;"Dim",IF(SUM($AM64:AO64)&gt;35,(MIN(SUM($AM64:AO64),43)-35-SUM($AM66:AN66)),0),0)</f>
        <v>0</v>
      </c>
      <c r="AP66" s="66">
        <f>IF(AP59&lt;&gt;"Dim",IF(SUM($AM64:AP64)&gt;35,(MIN(SUM($AM64:AP64),43)-35-SUM($AM66:AO66)),0),0)</f>
        <v>0</v>
      </c>
      <c r="AQ66" s="66">
        <f>IF(AQ59&lt;&gt;"Dim",IF(SUM($AM64:AQ64)&gt;35,(MIN(SUM($AM64:AQ64),43)-35-SUM($AM66:AP66)),0),0)</f>
        <v>0</v>
      </c>
      <c r="AR66" s="66">
        <f>IF(AR59&lt;&gt;"Dim",IF(SUM($AM64:AR64)&gt;35,(MIN(SUM($AM64:AR64),43)-35-SUM($AM66:AQ66)),0),0)</f>
        <v>0</v>
      </c>
      <c r="AS66" s="66">
        <f>IF(AS59&lt;&gt;"Dim",IF(SUM($AM64:AS64)&gt;35,(MIN(SUM($AM64:AS64),43)-35-SUM($AM66:AR66)),0),0)</f>
        <v>0</v>
      </c>
      <c r="AT66" s="60">
        <f t="shared" si="106"/>
        <v>0</v>
      </c>
      <c r="AU66" s="60"/>
      <c r="AV66" s="66">
        <f>IF(AV59&lt;&gt;"Dim",IF(AV64&gt;35,(MIN(AV64,43)-35),0),0)</f>
        <v>0</v>
      </c>
      <c r="AW66" s="66">
        <f>IF(AW59&lt;&gt;"Dim",IF(SUM($AV64:AW64)&gt;35,(MIN(SUM($AV64:AW64),43)-35-SUM($AV66:AV66)),0),0)</f>
        <v>0</v>
      </c>
      <c r="AX66" s="60">
        <f t="shared" si="96"/>
        <v>0</v>
      </c>
      <c r="AY66" s="60">
        <f t="shared" si="108"/>
        <v>0</v>
      </c>
      <c r="AZ66" s="46"/>
      <c r="BA66" s="46"/>
      <c r="BB66" s="46"/>
      <c r="BC66" s="46"/>
      <c r="BD66" s="46"/>
      <c r="BE66" s="46"/>
      <c r="BF66" s="41"/>
    </row>
    <row r="67" spans="1:58" s="7" customFormat="1" ht="15" customHeight="1" x14ac:dyDescent="0.25">
      <c r="A67" s="21" t="s">
        <v>5</v>
      </c>
      <c r="B67" s="81"/>
      <c r="C67" s="66">
        <f>IF(C59&lt;&gt;"Dim",IF(C64&gt;43,(MIN(C64,48)-43),0),0)</f>
        <v>0</v>
      </c>
      <c r="D67" s="66">
        <f>IF(D59&lt;&gt;"Dim",IF(SUM($C64:D64)&gt;43,(MIN(SUM($C64:D64),48)-43-SUM($C67:C67)),0),0)</f>
        <v>0</v>
      </c>
      <c r="E67" s="66">
        <f>IF(E59&lt;&gt;"Dim",IF(SUM($C64:E64)&gt;43,(MIN(SUM($C64:E64),48)-43-SUM($C67:D67)),0),0)</f>
        <v>0</v>
      </c>
      <c r="F67" s="66">
        <f>IF(F59&lt;&gt;"Dim",IF(SUM($C64:F64)&gt;43,(MIN(SUM($C64:F64),48)-43-SUM($C67:E67)),0),0)</f>
        <v>0</v>
      </c>
      <c r="G67" s="66">
        <f>IF(G59&lt;&gt;"Dim",IF(SUM($C64:G64)&gt;43,(MIN(SUM($C64:G64),48)-43-SUM($C67:F67)),0),0)</f>
        <v>0</v>
      </c>
      <c r="H67" s="66">
        <f>IF(H59&lt;&gt;"Dim",IF(SUM($C64:H64)&gt;43,(MIN(SUM($C64:H64),48)-43-SUM($C67:G67)),0),0)</f>
        <v>0</v>
      </c>
      <c r="I67" s="66">
        <f>IF(I59&lt;&gt;"Dim",IF(SUM($C64:I64)&gt;43,(MIN(SUM($C64:I64),48)-43-SUM($C67:H67)),0),0)</f>
        <v>0</v>
      </c>
      <c r="J67" s="60">
        <f t="shared" si="98"/>
        <v>0</v>
      </c>
      <c r="K67" s="60"/>
      <c r="L67" s="66">
        <f>IF(L59&lt;&gt;"Dim",IF(L64&gt;43,(MIN(L64,48)-43),0),0)</f>
        <v>0</v>
      </c>
      <c r="M67" s="66">
        <f>IF(M59&lt;&gt;"Dim",IF(SUM($L64:M64)&gt;43,(MIN(SUM($L64:M64),48)-43-SUM($L67:L67)),0),0)</f>
        <v>0</v>
      </c>
      <c r="N67" s="66">
        <f>IF(N59&lt;&gt;"Dim",IF(SUM($L64:N64)&gt;43,(MIN(SUM($L64:N64),48)-43-SUM($L67:M67)),0),0)</f>
        <v>0</v>
      </c>
      <c r="O67" s="66">
        <f>IF(O59&lt;&gt;"Dim",IF(SUM($L64:O64)&gt;43,(MIN(SUM($L64:O64),48)-43-SUM($L67:N67)),0),0)</f>
        <v>0</v>
      </c>
      <c r="P67" s="66">
        <f>IF(P59&lt;&gt;"Dim",IF(SUM($L64:P64)&gt;43,(MIN(SUM($L64:P64),48)-43-SUM($L67:O67)),0),0)</f>
        <v>0</v>
      </c>
      <c r="Q67" s="66">
        <f>IF(Q59&lt;&gt;"Dim",IF(SUM($L64:Q64)&gt;43,(MIN(SUM($L64:Q64),48)-43-SUM($L67:P67)),0),0)</f>
        <v>0</v>
      </c>
      <c r="R67" s="66">
        <f>IF(R59&lt;&gt;"Dim",IF(SUM($L64:R64)&gt;43,(MIN(SUM($L64:R64),48)-43-SUM($L67:Q67)),0),0)</f>
        <v>0</v>
      </c>
      <c r="S67" s="60">
        <f t="shared" si="100"/>
        <v>0</v>
      </c>
      <c r="T67" s="60"/>
      <c r="U67" s="66">
        <f>IF(U59&lt;&gt;"Dim",IF(U64&gt;43,(MIN(U64,48)-43),0),0)</f>
        <v>0</v>
      </c>
      <c r="V67" s="66">
        <f>IF(V59&lt;&gt;"Dim",IF(SUM($U64:V64)&gt;43,(MIN(SUM($U64:V64),48)-43-SUM($U67:U67)),0),0)</f>
        <v>0</v>
      </c>
      <c r="W67" s="66">
        <f>IF(W59&lt;&gt;"Dim",IF(SUM($U64:W64)&gt;43,(MIN(SUM($U64:W64),48)-43-SUM($U67:V67)),0),0)</f>
        <v>0</v>
      </c>
      <c r="X67" s="66">
        <f>IF(X59&lt;&gt;"Dim",IF(SUM($U64:X64)&gt;43,(MIN(SUM($U64:X64),48)-43-SUM($U67:W67)),0),0)</f>
        <v>0</v>
      </c>
      <c r="Y67" s="66">
        <f>IF(Y59&lt;&gt;"Dim",IF(SUM($U64:Y64)&gt;43,(MIN(SUM($U64:Y64),48)-43-SUM($U67:X67)),0),0)</f>
        <v>0</v>
      </c>
      <c r="Z67" s="66">
        <f>IF(Z59&lt;&gt;"Dim",IF(SUM($U64:Z64)&gt;43,(MIN(SUM($U64:Z64),48)-43-SUM($U67:Y67)),0),0)</f>
        <v>0</v>
      </c>
      <c r="AA67" s="66">
        <f>IF(AA59&lt;&gt;"Dim",IF(SUM($U64:AA64)&gt;43,(MIN(SUM($U64:AA64),48)-43-SUM($U67:Z67)),0),0)</f>
        <v>0</v>
      </c>
      <c r="AB67" s="60">
        <f t="shared" si="102"/>
        <v>0</v>
      </c>
      <c r="AC67" s="60"/>
      <c r="AD67" s="66">
        <f>IF(AD59&lt;&gt;"Dim",IF(AD64&gt;43,(MIN(AD64,48)-43),0),0)</f>
        <v>0</v>
      </c>
      <c r="AE67" s="66">
        <f>IF(AE59&lt;&gt;"Dim",IF(SUM($AD64:AE64)&gt;43,(MIN(SUM($AD64:AE64),48)-43-SUM($AD67:AD67)),0),0)</f>
        <v>0</v>
      </c>
      <c r="AF67" s="66">
        <f>IF(AF59&lt;&gt;"Dim",IF(SUM($AD64:AF64)&gt;43,(MIN(SUM($AD64:AF64),48)-43-SUM($AD67:AE67)),0),0)</f>
        <v>0</v>
      </c>
      <c r="AG67" s="66">
        <f>IF(AG59&lt;&gt;"Dim",IF(SUM($AD64:AG64)&gt;43,(MIN(SUM($AD64:AG64),48)-43-SUM($AD67:AF67)),0),0)</f>
        <v>0</v>
      </c>
      <c r="AH67" s="66">
        <f>IF(AH59&lt;&gt;"Dim",IF(SUM($AD64:AH64)&gt;43,(MIN(SUM($AD64:AH64),48)-43-SUM($AD67:AG67)),0),0)</f>
        <v>0</v>
      </c>
      <c r="AI67" s="66">
        <f>IF(AI59&lt;&gt;"Dim",IF(SUM($AD64:AI64)&gt;43,(MIN(SUM($AD64:AI64),48)-43-SUM($AD67:AH67)),0),0)</f>
        <v>0</v>
      </c>
      <c r="AJ67" s="66">
        <f>IF(AJ59&lt;&gt;"Dim",IF(SUM($AD64:AJ64)&gt;43,(MIN(SUM($AD64:AJ64),48)-43-SUM($AD67:AI67)),0),0)</f>
        <v>0</v>
      </c>
      <c r="AK67" s="60">
        <f t="shared" si="104"/>
        <v>0</v>
      </c>
      <c r="AL67" s="60"/>
      <c r="AM67" s="66">
        <f>IF(AM59&lt;&gt;"Dim",IF(AM64&gt;43,(MIN(AM64,48)-43),0),0)</f>
        <v>0</v>
      </c>
      <c r="AN67" s="66">
        <f>IF(AN59&lt;&gt;"Dim",IF(SUM($AM64:AN64)&gt;43,(MIN(SUM($AM64:AN64),48)-43-SUM($AM67:AM67)),0),0)</f>
        <v>0</v>
      </c>
      <c r="AO67" s="66">
        <f>IF(AO59&lt;&gt;"Dim",IF(SUM($AM64:AO64)&gt;43,(MIN(SUM($AM64:AO64),48)-43-SUM($AM67:AN67)),0),0)</f>
        <v>0</v>
      </c>
      <c r="AP67" s="66">
        <f>IF(AP59&lt;&gt;"Dim",IF(SUM($AM64:AP64)&gt;43,(MIN(SUM($AM64:AP64),48)-43-SUM($AM67:AO67)),0),0)</f>
        <v>0</v>
      </c>
      <c r="AQ67" s="66">
        <f>IF(AQ59&lt;&gt;"Dim",IF(SUM($AM64:AQ64)&gt;43,(MIN(SUM($AM64:AQ64),48)-43-SUM($AM67:AP67)),0),0)</f>
        <v>0</v>
      </c>
      <c r="AR67" s="66">
        <f>IF(AR59&lt;&gt;"Dim",IF(SUM($AM64:AR64)&gt;43,(MIN(SUM($AM64:AR64),48)-43-SUM($AM67:AQ67)),0),0)</f>
        <v>0</v>
      </c>
      <c r="AS67" s="66">
        <f>IF(AS59&lt;&gt;"Dim",IF(SUM($AM64:AS64)&gt;43,(MIN(SUM($AM64:AS64),48)-43-SUM($AM67:AR67)),0),0)</f>
        <v>0</v>
      </c>
      <c r="AT67" s="60">
        <f t="shared" si="106"/>
        <v>0</v>
      </c>
      <c r="AU67" s="60"/>
      <c r="AV67" s="66">
        <f>IF(AV59&lt;&gt;"Dim",IF(AV64&gt;43,(MIN(AV64,48)-43),0),0)</f>
        <v>0</v>
      </c>
      <c r="AW67" s="66">
        <f>IF(AW59&lt;&gt;"Dim",IF(SUM($AV64:AW64)&gt;43,(MIN(SUM($AV64:AW64),48)-43-SUM($AV67:AV67)),0),0)</f>
        <v>0</v>
      </c>
      <c r="AX67" s="60">
        <f t="shared" si="96"/>
        <v>0</v>
      </c>
      <c r="AY67" s="60">
        <f t="shared" si="108"/>
        <v>0</v>
      </c>
      <c r="AZ67" s="31"/>
      <c r="BA67" s="31"/>
      <c r="BB67" s="31"/>
      <c r="BC67" s="31"/>
      <c r="BD67" s="31"/>
      <c r="BE67" s="31"/>
      <c r="BF67" s="41"/>
    </row>
    <row r="68" spans="1:58" s="7" customFormat="1" ht="15" customHeight="1" x14ac:dyDescent="0.25">
      <c r="A68" s="21" t="s">
        <v>7</v>
      </c>
      <c r="B68" s="81"/>
      <c r="C68" s="66">
        <f>IF(C59="Dim",C64,IF(C74="ferie",C64,0))</f>
        <v>0</v>
      </c>
      <c r="D68" s="66">
        <f t="shared" ref="D68:I68" si="109">IF(D59="Dim",D64,IF(D74="ferie",D64,0))</f>
        <v>0</v>
      </c>
      <c r="E68" s="66">
        <f t="shared" si="109"/>
        <v>0</v>
      </c>
      <c r="F68" s="66">
        <f t="shared" si="109"/>
        <v>0</v>
      </c>
      <c r="G68" s="66">
        <f t="shared" si="109"/>
        <v>0</v>
      </c>
      <c r="H68" s="66">
        <f t="shared" si="109"/>
        <v>0</v>
      </c>
      <c r="I68" s="66">
        <f t="shared" si="109"/>
        <v>0</v>
      </c>
      <c r="J68" s="60">
        <f t="shared" si="98"/>
        <v>0</v>
      </c>
      <c r="K68" s="60"/>
      <c r="L68" s="66">
        <f>IF(L59="Dim",L64,IF(L74="ferie",L64,0))</f>
        <v>0</v>
      </c>
      <c r="M68" s="66">
        <f t="shared" ref="M68:R68" si="110">IF(M59="Dim",M64,IF(M74="ferie",M64,0))</f>
        <v>0</v>
      </c>
      <c r="N68" s="66">
        <f t="shared" si="110"/>
        <v>0</v>
      </c>
      <c r="O68" s="66">
        <f t="shared" si="110"/>
        <v>0</v>
      </c>
      <c r="P68" s="66">
        <f t="shared" si="110"/>
        <v>0</v>
      </c>
      <c r="Q68" s="66">
        <f>IF(Q59="Dim",Q64,IF(Q74="ferie",Q64,0))</f>
        <v>0</v>
      </c>
      <c r="R68" s="66">
        <f t="shared" si="110"/>
        <v>0</v>
      </c>
      <c r="S68" s="60">
        <f t="shared" si="100"/>
        <v>0</v>
      </c>
      <c r="T68" s="60"/>
      <c r="U68" s="66">
        <f>IF(U59="Dim",U64,IF(U74="ferie",U64,0))</f>
        <v>0</v>
      </c>
      <c r="V68" s="66">
        <f t="shared" ref="V68:AA68" si="111">IF(V59="Dim",V64,IF(V74="ferie",V64,0))</f>
        <v>0</v>
      </c>
      <c r="W68" s="66">
        <f t="shared" si="111"/>
        <v>0</v>
      </c>
      <c r="X68" s="66">
        <f t="shared" si="111"/>
        <v>0</v>
      </c>
      <c r="Y68" s="66">
        <f t="shared" si="111"/>
        <v>0</v>
      </c>
      <c r="Z68" s="66">
        <f t="shared" si="111"/>
        <v>0</v>
      </c>
      <c r="AA68" s="66">
        <f t="shared" si="111"/>
        <v>0</v>
      </c>
      <c r="AB68" s="60">
        <f t="shared" si="102"/>
        <v>0</v>
      </c>
      <c r="AC68" s="60"/>
      <c r="AD68" s="66">
        <f>IF(AD59="Dim",AD64,IF(AD74="ferie",AD64,0))</f>
        <v>0</v>
      </c>
      <c r="AE68" s="66">
        <f t="shared" ref="AE68:AJ68" si="112">IF(AE59="Dim",AE64,IF(AE74="ferie",AE64,0))</f>
        <v>0</v>
      </c>
      <c r="AF68" s="66">
        <f t="shared" si="112"/>
        <v>0</v>
      </c>
      <c r="AG68" s="66">
        <f t="shared" si="112"/>
        <v>0</v>
      </c>
      <c r="AH68" s="66">
        <f t="shared" si="112"/>
        <v>0</v>
      </c>
      <c r="AI68" s="66">
        <f t="shared" si="112"/>
        <v>0</v>
      </c>
      <c r="AJ68" s="66">
        <f t="shared" si="112"/>
        <v>0</v>
      </c>
      <c r="AK68" s="60">
        <f t="shared" ref="AK68" si="113">SUM(AD68:AJ68)</f>
        <v>0</v>
      </c>
      <c r="AL68" s="60"/>
      <c r="AM68" s="66">
        <f>IF(AM59="Dim",AM64,IF(AM74="ferie",AM64,0))</f>
        <v>0</v>
      </c>
      <c r="AN68" s="66">
        <f t="shared" ref="AN68:AW68" si="114">IF(AN59="Dim",AN64,IF(AN74="ferie",AN64,0))</f>
        <v>0</v>
      </c>
      <c r="AO68" s="66">
        <f t="shared" si="114"/>
        <v>0</v>
      </c>
      <c r="AP68" s="66">
        <f t="shared" si="114"/>
        <v>0</v>
      </c>
      <c r="AQ68" s="66">
        <f t="shared" si="114"/>
        <v>0</v>
      </c>
      <c r="AR68" s="66">
        <f t="shared" si="114"/>
        <v>0</v>
      </c>
      <c r="AS68" s="66">
        <f t="shared" si="114"/>
        <v>0</v>
      </c>
      <c r="AT68" s="60">
        <f>SUM(AM68:AS68)</f>
        <v>0</v>
      </c>
      <c r="AU68" s="60"/>
      <c r="AV68" s="66">
        <f>IF(AV59="Dim",AV64,IF(AV74="ferie",AV64,0))</f>
        <v>0</v>
      </c>
      <c r="AW68" s="66">
        <f t="shared" si="114"/>
        <v>0</v>
      </c>
      <c r="AX68" s="60">
        <f t="shared" si="96"/>
        <v>0</v>
      </c>
      <c r="AY68" s="60">
        <f t="shared" si="108"/>
        <v>0</v>
      </c>
      <c r="AZ68" s="46"/>
      <c r="BA68" s="46"/>
      <c r="BB68" s="46"/>
      <c r="BC68" s="46"/>
      <c r="BD68" s="46"/>
      <c r="BE68" s="46"/>
      <c r="BF68" s="35"/>
    </row>
    <row r="69" spans="1:58" s="7" customFormat="1" ht="15" customHeight="1" x14ac:dyDescent="0.25">
      <c r="A69" s="21" t="s">
        <v>8</v>
      </c>
      <c r="B69" s="81"/>
      <c r="C69" s="31"/>
      <c r="D69" s="31"/>
      <c r="E69" s="31"/>
      <c r="F69" s="31"/>
      <c r="G69" s="31"/>
      <c r="H69" s="31"/>
      <c r="I69" s="31"/>
      <c r="J69" s="60">
        <f t="shared" si="98"/>
        <v>0</v>
      </c>
      <c r="K69" s="60"/>
      <c r="L69" s="31"/>
      <c r="M69" s="31"/>
      <c r="N69" s="31"/>
      <c r="O69" s="31"/>
      <c r="P69" s="31"/>
      <c r="Q69" s="31"/>
      <c r="R69" s="31"/>
      <c r="S69" s="60">
        <f t="shared" si="100"/>
        <v>0</v>
      </c>
      <c r="T69" s="60"/>
      <c r="U69" s="31"/>
      <c r="V69" s="31"/>
      <c r="W69" s="31"/>
      <c r="X69" s="31"/>
      <c r="Y69" s="31"/>
      <c r="Z69" s="31"/>
      <c r="AA69" s="31"/>
      <c r="AB69" s="60">
        <f t="shared" si="102"/>
        <v>0</v>
      </c>
      <c r="AC69" s="60"/>
      <c r="AD69" s="31"/>
      <c r="AE69" s="31"/>
      <c r="AF69" s="31"/>
      <c r="AG69" s="31"/>
      <c r="AH69" s="31"/>
      <c r="AI69" s="31"/>
      <c r="AJ69" s="31"/>
      <c r="AK69" s="60">
        <f t="shared" si="104"/>
        <v>0</v>
      </c>
      <c r="AL69" s="60"/>
      <c r="AM69" s="31"/>
      <c r="AN69" s="31"/>
      <c r="AO69" s="31"/>
      <c r="AP69" s="31"/>
      <c r="AQ69" s="31"/>
      <c r="AR69" s="31"/>
      <c r="AS69" s="31"/>
      <c r="AT69" s="60">
        <f t="shared" si="106"/>
        <v>0</v>
      </c>
      <c r="AU69" s="60"/>
      <c r="AV69" s="31"/>
      <c r="AW69" s="31"/>
      <c r="AX69" s="60">
        <f t="shared" si="96"/>
        <v>0</v>
      </c>
      <c r="AY69" s="60">
        <f t="shared" si="108"/>
        <v>0</v>
      </c>
      <c r="AZ69" s="46"/>
      <c r="BA69" s="46"/>
      <c r="BB69" s="46"/>
      <c r="BC69" s="46"/>
      <c r="BD69" s="46"/>
      <c r="BE69" s="46"/>
      <c r="BF69" s="35"/>
    </row>
    <row r="70" spans="1:58" s="7" customFormat="1" ht="15" customHeight="1" x14ac:dyDescent="0.25">
      <c r="A70" s="36" t="s">
        <v>9</v>
      </c>
      <c r="B70" s="82"/>
      <c r="C70" s="31"/>
      <c r="D70" s="31"/>
      <c r="E70" s="31"/>
      <c r="F70" s="31"/>
      <c r="G70" s="31"/>
      <c r="H70" s="31"/>
      <c r="I70" s="31"/>
      <c r="J70" s="60">
        <f t="shared" si="98"/>
        <v>0</v>
      </c>
      <c r="K70" s="60"/>
      <c r="L70" s="31"/>
      <c r="M70" s="31"/>
      <c r="N70" s="31"/>
      <c r="O70" s="31"/>
      <c r="P70" s="31"/>
      <c r="Q70" s="31"/>
      <c r="R70" s="31"/>
      <c r="S70" s="60">
        <f t="shared" si="100"/>
        <v>0</v>
      </c>
      <c r="T70" s="60"/>
      <c r="U70" s="31"/>
      <c r="V70" s="31"/>
      <c r="W70" s="31"/>
      <c r="X70" s="31"/>
      <c r="Y70" s="31"/>
      <c r="Z70" s="31"/>
      <c r="AA70" s="31"/>
      <c r="AB70" s="60">
        <f t="shared" si="102"/>
        <v>0</v>
      </c>
      <c r="AC70" s="60"/>
      <c r="AD70" s="31"/>
      <c r="AE70" s="31"/>
      <c r="AF70" s="31"/>
      <c r="AG70" s="31"/>
      <c r="AH70" s="31"/>
      <c r="AI70" s="31"/>
      <c r="AJ70" s="31"/>
      <c r="AK70" s="60">
        <f t="shared" si="104"/>
        <v>0</v>
      </c>
      <c r="AL70" s="60"/>
      <c r="AM70" s="31"/>
      <c r="AN70" s="31"/>
      <c r="AO70" s="31"/>
      <c r="AP70" s="31"/>
      <c r="AQ70" s="31"/>
      <c r="AR70" s="31"/>
      <c r="AS70" s="31"/>
      <c r="AT70" s="60">
        <f t="shared" si="106"/>
        <v>0</v>
      </c>
      <c r="AU70" s="60"/>
      <c r="AV70" s="31"/>
      <c r="AW70" s="31"/>
      <c r="AX70" s="60">
        <f t="shared" ref="AX70:AX72" si="115">SUM(AV70:AW70)</f>
        <v>0</v>
      </c>
      <c r="AY70" s="60">
        <f t="shared" si="108"/>
        <v>0</v>
      </c>
      <c r="AZ70" s="46"/>
      <c r="BA70" s="46"/>
      <c r="BB70" s="46"/>
      <c r="BC70" s="46"/>
      <c r="BD70" s="46"/>
      <c r="BE70" s="46"/>
      <c r="BF70" s="35"/>
    </row>
    <row r="71" spans="1:58" s="7" customFormat="1" ht="15" customHeight="1" x14ac:dyDescent="0.25">
      <c r="A71" s="21" t="s">
        <v>11</v>
      </c>
      <c r="B71" s="81"/>
      <c r="C71" s="31"/>
      <c r="D71" s="31"/>
      <c r="E71" s="31"/>
      <c r="F71" s="31"/>
      <c r="G71" s="31"/>
      <c r="H71" s="31"/>
      <c r="I71" s="31"/>
      <c r="J71" s="60">
        <f t="shared" si="98"/>
        <v>0</v>
      </c>
      <c r="K71" s="60"/>
      <c r="L71" s="31"/>
      <c r="M71" s="31"/>
      <c r="N71" s="31"/>
      <c r="O71" s="31"/>
      <c r="P71" s="31"/>
      <c r="Q71" s="31"/>
      <c r="R71" s="31"/>
      <c r="S71" s="60">
        <f t="shared" si="100"/>
        <v>0</v>
      </c>
      <c r="T71" s="60"/>
      <c r="U71" s="31"/>
      <c r="V71" s="31"/>
      <c r="W71" s="31"/>
      <c r="X71" s="31"/>
      <c r="Y71" s="31"/>
      <c r="Z71" s="31"/>
      <c r="AA71" s="31"/>
      <c r="AB71" s="60">
        <f t="shared" si="102"/>
        <v>0</v>
      </c>
      <c r="AC71" s="60"/>
      <c r="AD71" s="31"/>
      <c r="AE71" s="31"/>
      <c r="AF71" s="31"/>
      <c r="AG71" s="31"/>
      <c r="AH71" s="31"/>
      <c r="AI71" s="31"/>
      <c r="AJ71" s="31"/>
      <c r="AK71" s="60">
        <f t="shared" si="104"/>
        <v>0</v>
      </c>
      <c r="AL71" s="60"/>
      <c r="AM71" s="31"/>
      <c r="AN71" s="31"/>
      <c r="AO71" s="31"/>
      <c r="AP71" s="31"/>
      <c r="AQ71" s="31"/>
      <c r="AR71" s="31"/>
      <c r="AS71" s="31"/>
      <c r="AT71" s="60">
        <f t="shared" si="106"/>
        <v>0</v>
      </c>
      <c r="AU71" s="60"/>
      <c r="AV71" s="31"/>
      <c r="AW71" s="31"/>
      <c r="AX71" s="60">
        <f t="shared" si="115"/>
        <v>0</v>
      </c>
      <c r="AY71" s="60">
        <f t="shared" si="108"/>
        <v>0</v>
      </c>
      <c r="AZ71" s="46"/>
      <c r="BA71" s="46"/>
      <c r="BB71" s="46"/>
      <c r="BC71" s="46"/>
      <c r="BD71" s="46"/>
      <c r="BE71" s="46"/>
      <c r="BF71" s="35"/>
    </row>
    <row r="72" spans="1:58" s="7" customFormat="1" ht="15" customHeight="1" x14ac:dyDescent="0.25">
      <c r="A72" s="36" t="s">
        <v>10</v>
      </c>
      <c r="B72" s="82"/>
      <c r="C72" s="31"/>
      <c r="D72" s="31"/>
      <c r="E72" s="31"/>
      <c r="F72" s="31"/>
      <c r="G72" s="31"/>
      <c r="H72" s="31"/>
      <c r="I72" s="31"/>
      <c r="J72" s="60">
        <f t="shared" si="98"/>
        <v>0</v>
      </c>
      <c r="K72" s="60"/>
      <c r="L72" s="31"/>
      <c r="M72" s="31"/>
      <c r="N72" s="31"/>
      <c r="O72" s="31"/>
      <c r="P72" s="31"/>
      <c r="Q72" s="31"/>
      <c r="R72" s="31"/>
      <c r="S72" s="60">
        <f t="shared" si="100"/>
        <v>0</v>
      </c>
      <c r="T72" s="60"/>
      <c r="U72" s="31"/>
      <c r="V72" s="31"/>
      <c r="W72" s="31"/>
      <c r="X72" s="31"/>
      <c r="Y72" s="31"/>
      <c r="Z72" s="31"/>
      <c r="AA72" s="31"/>
      <c r="AB72" s="60">
        <f t="shared" si="102"/>
        <v>0</v>
      </c>
      <c r="AC72" s="60"/>
      <c r="AD72" s="31"/>
      <c r="AE72" s="31"/>
      <c r="AF72" s="31"/>
      <c r="AG72" s="31"/>
      <c r="AH72" s="31"/>
      <c r="AI72" s="31"/>
      <c r="AJ72" s="31"/>
      <c r="AK72" s="60">
        <f t="shared" si="104"/>
        <v>0</v>
      </c>
      <c r="AL72" s="60"/>
      <c r="AM72" s="31"/>
      <c r="AN72" s="31"/>
      <c r="AO72" s="31"/>
      <c r="AP72" s="31"/>
      <c r="AQ72" s="31"/>
      <c r="AR72" s="31"/>
      <c r="AS72" s="31"/>
      <c r="AT72" s="60">
        <f t="shared" si="106"/>
        <v>0</v>
      </c>
      <c r="AU72" s="60"/>
      <c r="AV72" s="31"/>
      <c r="AW72" s="31"/>
      <c r="AX72" s="60">
        <f t="shared" si="115"/>
        <v>0</v>
      </c>
      <c r="AY72" s="60">
        <f t="shared" si="108"/>
        <v>0</v>
      </c>
      <c r="AZ72" s="46"/>
      <c r="BA72" s="46"/>
      <c r="BB72" s="46"/>
      <c r="BC72" s="46"/>
      <c r="BD72" s="46"/>
      <c r="BE72" s="46"/>
      <c r="BF72" s="35"/>
    </row>
    <row r="73" spans="1:58" s="33" customFormat="1" ht="15" customHeight="1" x14ac:dyDescent="0.25">
      <c r="A73" s="36" t="s">
        <v>44</v>
      </c>
      <c r="B73" s="82"/>
      <c r="C73" s="60">
        <f>IF(C61="nuit",C64*0.02,0)</f>
        <v>0</v>
      </c>
      <c r="D73" s="60">
        <f>IF(D61="nuit",D64*0.02,0)</f>
        <v>0</v>
      </c>
      <c r="E73" s="60">
        <f t="shared" ref="E73:I73" si="116">IF(E61="nuit",E64*0.02,0)</f>
        <v>0</v>
      </c>
      <c r="F73" s="60">
        <f t="shared" si="116"/>
        <v>0</v>
      </c>
      <c r="G73" s="60">
        <f>IF(G61="nuit",G64*0.02,0)</f>
        <v>0</v>
      </c>
      <c r="H73" s="60">
        <f t="shared" si="116"/>
        <v>0</v>
      </c>
      <c r="I73" s="60">
        <f t="shared" si="116"/>
        <v>0</v>
      </c>
      <c r="J73" s="60">
        <f t="shared" si="98"/>
        <v>0</v>
      </c>
      <c r="K73" s="60"/>
      <c r="L73" s="60">
        <f>IF(L61="nuit",L64*0.02,0)</f>
        <v>0</v>
      </c>
      <c r="M73" s="60">
        <f>IF(M61="nuit",M64*0.02,0)</f>
        <v>0</v>
      </c>
      <c r="N73" s="60">
        <f t="shared" ref="N73:R73" si="117">IF(N61="nuit",N64*0.02,0)</f>
        <v>0</v>
      </c>
      <c r="O73" s="60">
        <f t="shared" si="117"/>
        <v>0</v>
      </c>
      <c r="P73" s="60">
        <f>IF(P61="nuit",P64*0.02,0)</f>
        <v>0</v>
      </c>
      <c r="Q73" s="60">
        <f t="shared" si="117"/>
        <v>0</v>
      </c>
      <c r="R73" s="60">
        <f t="shared" si="117"/>
        <v>0</v>
      </c>
      <c r="S73" s="60">
        <f t="shared" si="100"/>
        <v>0</v>
      </c>
      <c r="T73" s="60"/>
      <c r="U73" s="60">
        <f>IF(U61="nuit",U64*0.02,0)</f>
        <v>0</v>
      </c>
      <c r="V73" s="60">
        <f>IF(V61="nuit",V64*0.02,0)</f>
        <v>0</v>
      </c>
      <c r="W73" s="60">
        <f t="shared" ref="W73:AA73" si="118">IF(W61="nuit",W64*0.02,0)</f>
        <v>0</v>
      </c>
      <c r="X73" s="60">
        <f t="shared" si="118"/>
        <v>0</v>
      </c>
      <c r="Y73" s="60">
        <f>IF(Y61="nuit",Y64*0.02,0)</f>
        <v>0</v>
      </c>
      <c r="Z73" s="60">
        <f t="shared" si="118"/>
        <v>0</v>
      </c>
      <c r="AA73" s="60">
        <f t="shared" si="118"/>
        <v>0</v>
      </c>
      <c r="AB73" s="60">
        <f t="shared" si="102"/>
        <v>0</v>
      </c>
      <c r="AC73" s="60"/>
      <c r="AD73" s="60">
        <f>IF(AD61="nuit",AD64*0.02,0)</f>
        <v>0</v>
      </c>
      <c r="AE73" s="60">
        <f>IF(AE61="nuit",AE64*0.02,0)</f>
        <v>0</v>
      </c>
      <c r="AF73" s="60">
        <f t="shared" ref="AF73:AJ73" si="119">IF(AF61="nuit",AF64*0.02,0)</f>
        <v>0</v>
      </c>
      <c r="AG73" s="60">
        <f t="shared" si="119"/>
        <v>0</v>
      </c>
      <c r="AH73" s="60">
        <f>IF(AH61="nuit",AH64*0.02,0)</f>
        <v>0</v>
      </c>
      <c r="AI73" s="60">
        <f t="shared" si="119"/>
        <v>0</v>
      </c>
      <c r="AJ73" s="60">
        <f t="shared" si="119"/>
        <v>0</v>
      </c>
      <c r="AK73" s="60">
        <f t="shared" si="104"/>
        <v>0</v>
      </c>
      <c r="AL73" s="60"/>
      <c r="AM73" s="60">
        <f>IF(AM61="nuit",AM64*0.02,0)</f>
        <v>0</v>
      </c>
      <c r="AN73" s="60">
        <f>IF(AN61="nuit",AN64*0.02,0)</f>
        <v>0</v>
      </c>
      <c r="AO73" s="60">
        <f t="shared" ref="AO73:AS73" si="120">IF(AO61="nuit",AO64*0.02,0)</f>
        <v>0</v>
      </c>
      <c r="AP73" s="60">
        <f t="shared" si="120"/>
        <v>0</v>
      </c>
      <c r="AQ73" s="60">
        <f>IF(AQ61="nuit",AQ64*0.02,0)</f>
        <v>0</v>
      </c>
      <c r="AR73" s="60">
        <f t="shared" si="120"/>
        <v>0</v>
      </c>
      <c r="AS73" s="60">
        <f t="shared" si="120"/>
        <v>0</v>
      </c>
      <c r="AT73" s="60">
        <f t="shared" si="106"/>
        <v>0</v>
      </c>
      <c r="AU73" s="60"/>
      <c r="AV73" s="60">
        <f>IF(AV61="nuit",AV64*0.02,0)</f>
        <v>0</v>
      </c>
      <c r="AW73" s="60">
        <f>IF(AW61="nuit",AW64*0.02,0)</f>
        <v>0</v>
      </c>
      <c r="AX73" s="60">
        <f>SUM(AV73:AW73)</f>
        <v>0</v>
      </c>
      <c r="AY73" s="60">
        <f>J73+S73+AB73+AK73+AT73+AX73</f>
        <v>0</v>
      </c>
      <c r="AZ73" s="52"/>
      <c r="BA73" s="52"/>
      <c r="BB73" s="52"/>
      <c r="BC73" s="52"/>
      <c r="BD73" s="52"/>
      <c r="BE73" s="52"/>
      <c r="BF73" s="35"/>
    </row>
    <row r="74" spans="1:58" s="8" customFormat="1" ht="15" customHeight="1" x14ac:dyDescent="0.25">
      <c r="A74" s="21" t="s">
        <v>31</v>
      </c>
      <c r="B74" s="81"/>
      <c r="C74" s="31"/>
      <c r="D74" s="31"/>
      <c r="E74" s="31"/>
      <c r="F74" s="31"/>
      <c r="G74" s="31"/>
      <c r="H74" s="37"/>
      <c r="I74" s="37"/>
      <c r="J74" s="64"/>
      <c r="K74" s="64"/>
      <c r="L74" s="37"/>
      <c r="M74" s="37"/>
      <c r="N74" s="37"/>
      <c r="O74" s="37"/>
      <c r="P74" s="37"/>
      <c r="Q74" s="37"/>
      <c r="R74" s="37"/>
      <c r="S74" s="64"/>
      <c r="T74" s="64"/>
      <c r="U74" s="37"/>
      <c r="V74" s="37"/>
      <c r="W74" s="37"/>
      <c r="X74" s="37"/>
      <c r="Y74" s="37"/>
      <c r="Z74" s="37"/>
      <c r="AA74" s="37"/>
      <c r="AB74" s="64"/>
      <c r="AC74" s="64"/>
      <c r="AD74" s="37"/>
      <c r="AE74" s="37"/>
      <c r="AF74" s="37"/>
      <c r="AG74" s="37"/>
      <c r="AH74" s="37"/>
      <c r="AI74" s="37"/>
      <c r="AJ74" s="37"/>
      <c r="AK74" s="64"/>
      <c r="AL74" s="64"/>
      <c r="AM74" s="37"/>
      <c r="AN74" s="37"/>
      <c r="AO74" s="37"/>
      <c r="AP74" s="37"/>
      <c r="AQ74" s="37"/>
      <c r="AR74" s="37"/>
      <c r="AS74" s="37"/>
      <c r="AT74" s="64"/>
      <c r="AU74" s="64"/>
      <c r="AV74" s="37"/>
      <c r="AW74" s="37"/>
      <c r="AX74" s="64"/>
      <c r="AY74" s="65"/>
      <c r="AZ74" s="52"/>
      <c r="BA74" s="52"/>
      <c r="BB74" s="52"/>
      <c r="BC74" s="52"/>
      <c r="BD74" s="52"/>
      <c r="BE74" s="52"/>
      <c r="BF74" s="35"/>
    </row>
    <row r="75" spans="1:58" s="8" customFormat="1" ht="15" customHeight="1" x14ac:dyDescent="0.25">
      <c r="A75" s="38"/>
      <c r="B75" s="38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69"/>
      <c r="AZ75" s="52"/>
      <c r="BA75" s="52"/>
      <c r="BB75" s="52"/>
      <c r="BC75" s="52"/>
      <c r="BD75" s="52"/>
      <c r="BE75" s="52"/>
      <c r="BF75" s="35"/>
    </row>
    <row r="76" spans="1:58" s="8" customFormat="1" ht="27.6" x14ac:dyDescent="0.25">
      <c r="A76" s="21"/>
      <c r="B76" s="21"/>
      <c r="C76" s="24" t="s">
        <v>23</v>
      </c>
      <c r="D76" s="24"/>
      <c r="E76" s="24"/>
      <c r="F76" s="24"/>
      <c r="G76" s="24"/>
      <c r="H76" s="95">
        <f>Année_Calendaire</f>
        <v>2016</v>
      </c>
      <c r="I76" s="95"/>
      <c r="J76" s="88"/>
      <c r="K76" s="88"/>
      <c r="L76" s="31"/>
      <c r="M76" s="31"/>
      <c r="N76" s="31"/>
      <c r="O76" s="31"/>
      <c r="P76" s="31"/>
      <c r="Q76" s="31"/>
      <c r="R76" s="31"/>
      <c r="S76" s="88"/>
      <c r="T76" s="88"/>
      <c r="U76" s="24" t="s">
        <v>23</v>
      </c>
      <c r="V76" s="24"/>
      <c r="W76" s="24"/>
      <c r="X76" s="24"/>
      <c r="Y76" s="24"/>
      <c r="Z76" s="95">
        <f>Année_Calendaire</f>
        <v>2016</v>
      </c>
      <c r="AA76" s="95"/>
      <c r="AB76" s="88"/>
      <c r="AC76" s="88"/>
      <c r="AD76" s="31"/>
      <c r="AE76" s="31"/>
      <c r="AF76" s="31"/>
      <c r="AG76" s="31"/>
      <c r="AH76" s="31"/>
      <c r="AI76" s="31"/>
      <c r="AJ76" s="31"/>
      <c r="AK76" s="88"/>
      <c r="AL76" s="88"/>
      <c r="AM76" s="24" t="s">
        <v>23</v>
      </c>
      <c r="AN76" s="24"/>
      <c r="AO76" s="24"/>
      <c r="AP76" s="24"/>
      <c r="AQ76" s="24"/>
      <c r="AR76" s="95">
        <f>Année_Calendaire</f>
        <v>2016</v>
      </c>
      <c r="AS76" s="95"/>
      <c r="AT76" s="88"/>
      <c r="AU76" s="88"/>
      <c r="AV76" s="31"/>
      <c r="AW76" s="31"/>
      <c r="AX76" s="88"/>
      <c r="AY76" s="52"/>
      <c r="AZ76" s="52"/>
      <c r="BA76" s="52"/>
      <c r="BB76" s="52"/>
      <c r="BC76" s="52"/>
      <c r="BD76" s="52"/>
      <c r="BE76" s="52"/>
      <c r="BF76" s="35"/>
    </row>
    <row r="77" spans="1:58" s="8" customFormat="1" ht="29.25" customHeight="1" x14ac:dyDescent="0.25">
      <c r="A77" s="31"/>
      <c r="B77" s="60"/>
      <c r="C77" s="62" t="s">
        <v>13</v>
      </c>
      <c r="D77" s="62" t="s">
        <v>14</v>
      </c>
      <c r="E77" s="62" t="s">
        <v>15</v>
      </c>
      <c r="F77" s="62" t="s">
        <v>16</v>
      </c>
      <c r="G77" s="62" t="s">
        <v>17</v>
      </c>
      <c r="H77" s="62" t="s">
        <v>18</v>
      </c>
      <c r="I77" s="62" t="s">
        <v>19</v>
      </c>
      <c r="J77" s="96" t="s">
        <v>32</v>
      </c>
      <c r="K77" s="87"/>
      <c r="L77" s="62" t="s">
        <v>13</v>
      </c>
      <c r="M77" s="62" t="s">
        <v>14</v>
      </c>
      <c r="N77" s="62" t="s">
        <v>15</v>
      </c>
      <c r="O77" s="62" t="s">
        <v>16</v>
      </c>
      <c r="P77" s="62" t="s">
        <v>17</v>
      </c>
      <c r="Q77" s="62" t="s">
        <v>18</v>
      </c>
      <c r="R77" s="62" t="s">
        <v>19</v>
      </c>
      <c r="S77" s="96" t="s">
        <v>32</v>
      </c>
      <c r="T77" s="87"/>
      <c r="U77" s="62" t="s">
        <v>13</v>
      </c>
      <c r="V77" s="62" t="s">
        <v>14</v>
      </c>
      <c r="W77" s="62" t="s">
        <v>15</v>
      </c>
      <c r="X77" s="62" t="s">
        <v>16</v>
      </c>
      <c r="Y77" s="62" t="s">
        <v>17</v>
      </c>
      <c r="Z77" s="62" t="s">
        <v>18</v>
      </c>
      <c r="AA77" s="62" t="s">
        <v>19</v>
      </c>
      <c r="AB77" s="96" t="s">
        <v>32</v>
      </c>
      <c r="AC77" s="87"/>
      <c r="AD77" s="62" t="s">
        <v>13</v>
      </c>
      <c r="AE77" s="62" t="s">
        <v>14</v>
      </c>
      <c r="AF77" s="62" t="s">
        <v>15</v>
      </c>
      <c r="AG77" s="62" t="s">
        <v>16</v>
      </c>
      <c r="AH77" s="62" t="s">
        <v>17</v>
      </c>
      <c r="AI77" s="62" t="s">
        <v>18</v>
      </c>
      <c r="AJ77" s="62" t="s">
        <v>19</v>
      </c>
      <c r="AK77" s="96" t="s">
        <v>32</v>
      </c>
      <c r="AL77" s="87"/>
      <c r="AM77" s="62" t="s">
        <v>13</v>
      </c>
      <c r="AN77" s="62" t="s">
        <v>14</v>
      </c>
      <c r="AO77" s="62" t="s">
        <v>15</v>
      </c>
      <c r="AP77" s="62" t="s">
        <v>16</v>
      </c>
      <c r="AQ77" s="62" t="s">
        <v>17</v>
      </c>
      <c r="AR77" s="62" t="s">
        <v>18</v>
      </c>
      <c r="AS77" s="62" t="s">
        <v>19</v>
      </c>
      <c r="AT77" s="96" t="s">
        <v>32</v>
      </c>
      <c r="AU77" s="87"/>
      <c r="AV77" s="62" t="s">
        <v>13</v>
      </c>
      <c r="AW77" s="62" t="s">
        <v>14</v>
      </c>
      <c r="AX77" s="96" t="s">
        <v>32</v>
      </c>
      <c r="AY77" s="96" t="s">
        <v>35</v>
      </c>
      <c r="AZ77" s="97">
        <f>AY84+AY85+AY86</f>
        <v>0</v>
      </c>
      <c r="BA77" s="97">
        <f>AZ77+BA59</f>
        <v>15</v>
      </c>
      <c r="BB77" s="52"/>
      <c r="BC77" s="52"/>
      <c r="BD77" s="52"/>
      <c r="BE77" s="52"/>
      <c r="BF77" s="35"/>
    </row>
    <row r="78" spans="1:58" s="8" customFormat="1" ht="15" customHeight="1" x14ac:dyDescent="0.25">
      <c r="A78" s="48"/>
      <c r="B78" s="83"/>
      <c r="C78" s="67" t="str">
        <f>IF(DAY(Mai_Dim1)=1,"",IF(AND(YEAR(Mai_Dim1+1)=Année_Calendaire,MONTH(Mai_Dim1+1)=5),Mai_Dim1+1,""))</f>
        <v/>
      </c>
      <c r="D78" s="67" t="str">
        <f>IF(DAY(Mai_Dim1)=1,"",IF(AND(YEAR(Mai_Dim1+2)=Année_Calendaire,MONTH(Mai_Dim1+2)=5),Mai_Dim1+2,""))</f>
        <v/>
      </c>
      <c r="E78" s="67" t="str">
        <f>IF(DAY(Mai_Dim1)=1,"",IF(AND(YEAR(Mai_Dim1+3)=Année_Calendaire,MONTH(Mai_Dim1+3)=5),Mai_Dim1+3,""))</f>
        <v/>
      </c>
      <c r="F78" s="67" t="str">
        <f>IF(DAY(Mai_Dim1)=1,"",IF(AND(YEAR(Mai_Dim1+4)=Année_Calendaire,MONTH(Mai_Dim1+4)=5),Mai_Dim1+4,""))</f>
        <v/>
      </c>
      <c r="G78" s="67" t="str">
        <f>IF(DAY(Mai_Dim1)=1,"",IF(AND(YEAR(Mai_Dim1+5)=Année_Calendaire,MONTH(Mai_Dim1+5)=5),Mai_Dim1+5,""))</f>
        <v/>
      </c>
      <c r="H78" s="67" t="str">
        <f>IF(DAY(Mai_Dim1)=1,"",IF(AND(YEAR(Mai_Dim1+6)=Année_Calendaire,MONTH(Mai_Dim1+6)=5),Mai_Dim1+6,""))</f>
        <v/>
      </c>
      <c r="I78" s="67">
        <f>IF(DAY(Mai_Dim1)=1,IF(AND(YEAR(Mai_Dim1)=Année_Calendaire,MONTH(Mai_Dim1)=5),Mai_Dim1,""),IF(AND(YEAR(Mai_Dim1+7)=Année_Calendaire,MONTH(Mai_Dim1+7)=5),Mai_Dim1+7,""))</f>
        <v>42491</v>
      </c>
      <c r="J78" s="96"/>
      <c r="K78" s="87"/>
      <c r="L78" s="67">
        <f>IF(DAY(Mai_Dim1)=1,IF(AND(YEAR(Mai_Dim1+1)=Année_Calendaire,MONTH(Mai_Dim1+1)=5),Mai_Dim1+1,""),IF(AND(YEAR(Mai_Dim1+8)=Année_Calendaire,MONTH(Mai_Dim1+8)=5),Mai_Dim1+8,""))</f>
        <v>42492</v>
      </c>
      <c r="M78" s="67">
        <f>IF(DAY(Mai_Dim1)=1,IF(AND(YEAR(Mai_Dim1+2)=Année_Calendaire,MONTH(Mai_Dim1+2)=5),Mai_Dim1+2,""),IF(AND(YEAR(Mai_Dim1+9)=Année_Calendaire,MONTH(Mai_Dim1+9)=5),Mai_Dim1+9,""))</f>
        <v>42493</v>
      </c>
      <c r="N78" s="67">
        <f>IF(DAY(Mai_Dim1)=1,IF(AND(YEAR(Mai_Dim1+3)=Année_Calendaire,MONTH(Mai_Dim1+3)=5),Mai_Dim1+3,""),IF(AND(YEAR(Mai_Dim1+10)=Année_Calendaire,MONTH(Mai_Dim1+10)=5),Mai_Dim1+10,""))</f>
        <v>42494</v>
      </c>
      <c r="O78" s="67">
        <f>IF(DAY(Mai_Dim1)=1,IF(AND(YEAR(Mai_Dim1+4)=Année_Calendaire,MONTH(Mai_Dim1+4)=5),Mai_Dim1+4,""),IF(AND(YEAR(Mai_Dim1+11)=Année_Calendaire,MONTH(Mai_Dim1+11)=5),Mai_Dim1+11,""))</f>
        <v>42495</v>
      </c>
      <c r="P78" s="67">
        <f>IF(DAY(Mai_Dim1)=1,IF(AND(YEAR(Mai_Dim1+5)=Année_Calendaire,MONTH(Mai_Dim1+5)=5),Mai_Dim1+5,""),IF(AND(YEAR(Mai_Dim1+12)=Année_Calendaire,MONTH(Mai_Dim1+12)=5),Mai_Dim1+12,""))</f>
        <v>42496</v>
      </c>
      <c r="Q78" s="67">
        <f>IF(DAY(Mai_Dim1)=1,IF(AND(YEAR(Mai_Dim1+6)=Année_Calendaire,MONTH(Mai_Dim1+6)=5),Mai_Dim1+6,""),IF(AND(YEAR(Mai_Dim1+13)=Année_Calendaire,MONTH(Mai_Dim1+13)=5),Mai_Dim1+13,""))</f>
        <v>42497</v>
      </c>
      <c r="R78" s="67">
        <f>IF(DAY(Mai_Dim1)=1,IF(AND(YEAR(Mai_Dim1+7)=Année_Calendaire,MONTH(Mai_Dim1+7)=5),Mai_Dim1+7,""),IF(AND(YEAR(Mai_Dim1+14)=Année_Calendaire,MONTH(Mai_Dim1+14)=5),Mai_Dim1+14,""))</f>
        <v>42498</v>
      </c>
      <c r="S78" s="96"/>
      <c r="T78" s="87"/>
      <c r="U78" s="67">
        <f>IF(DAY(Mai_Dim1)=1,IF(AND(YEAR(Mai_Dim1+8)=Année_Calendaire,MONTH(Mai_Dim1+8)=5),Mai_Dim1+8,""),IF(AND(YEAR(Mai_Dim1+15)=Année_Calendaire,MONTH(Mai_Dim1+15)=5),Mai_Dim1+15,""))</f>
        <v>42499</v>
      </c>
      <c r="V78" s="67">
        <f>IF(DAY(Mai_Dim1)=1,IF(AND(YEAR(Mai_Dim1+9)=Année_Calendaire,MONTH(Mai_Dim1+9)=5),Mai_Dim1+9,""),IF(AND(YEAR(Mai_Dim1+16)=Année_Calendaire,MONTH(Mai_Dim1+16)=5),Mai_Dim1+16,""))</f>
        <v>42500</v>
      </c>
      <c r="W78" s="67">
        <f>IF(DAY(Mai_Dim1)=1,IF(AND(YEAR(Mai_Dim1+10)=Année_Calendaire,MONTH(Mai_Dim1+10)=5),Mai_Dim1+10,""),IF(AND(YEAR(Mai_Dim1+17)=Année_Calendaire,MONTH(Mai_Dim1+17)=5),Mai_Dim1+17,""))</f>
        <v>42501</v>
      </c>
      <c r="X78" s="67">
        <f>IF(DAY(Mai_Dim1)=1,IF(AND(YEAR(Mai_Dim1+11)=Année_Calendaire,MONTH(Mai_Dim1+11)=5),Mai_Dim1+11,""),IF(AND(YEAR(Mai_Dim1+18)=Année_Calendaire,MONTH(Mai_Dim1+18)=5),Mai_Dim1+18,""))</f>
        <v>42502</v>
      </c>
      <c r="Y78" s="67">
        <f>IF(DAY(Mai_Dim1)=1,IF(AND(YEAR(Mai_Dim1+12)=Année_Calendaire,MONTH(Mai_Dim1+12)=5),Mai_Dim1+12,""),IF(AND(YEAR(Mai_Dim1+19)=Année_Calendaire,MONTH(Mai_Dim1+19)=5),Mai_Dim1+19,""))</f>
        <v>42503</v>
      </c>
      <c r="Z78" s="67">
        <f>IF(DAY(Mai_Dim1)=1,IF(AND(YEAR(Mai_Dim1+13)=Année_Calendaire,MONTH(Mai_Dim1+13)=5),Mai_Dim1+13,""),IF(AND(YEAR(Mai_Dim1+20)=Année_Calendaire,MONTH(Mai_Dim1+20)=5),Mai_Dim1+20,""))</f>
        <v>42504</v>
      </c>
      <c r="AA78" s="67">
        <f>IF(DAY(Mai_Dim1)=1,IF(AND(YEAR(Mai_Dim1+14)=Année_Calendaire,MONTH(Mai_Dim1+14)=5),Mai_Dim1+14,""),IF(AND(YEAR(Mai_Dim1+21)=Année_Calendaire,MONTH(Mai_Dim1+21)=5),Mai_Dim1+21,""))</f>
        <v>42505</v>
      </c>
      <c r="AB78" s="96"/>
      <c r="AC78" s="87"/>
      <c r="AD78" s="67">
        <f>IF(DAY(Mai_Dim1)=1,IF(AND(YEAR(Mai_Dim1+15)=Année_Calendaire,MONTH(Mai_Dim1+15)=5),Mai_Dim1+15,""),IF(AND(YEAR(Mai_Dim1+22)=Année_Calendaire,MONTH(Mai_Dim1+22)=5),Mai_Dim1+22,""))</f>
        <v>42506</v>
      </c>
      <c r="AE78" s="67">
        <f>IF(DAY(Mai_Dim1)=1,IF(AND(YEAR(Mai_Dim1+16)=Année_Calendaire,MONTH(Mai_Dim1+16)=5),Mai_Dim1+16,""),IF(AND(YEAR(Mai_Dim1+23)=Année_Calendaire,MONTH(Mai_Dim1+23)=5),Mai_Dim1+23,""))</f>
        <v>42507</v>
      </c>
      <c r="AF78" s="67">
        <f>IF(DAY(Mai_Dim1)=1,IF(AND(YEAR(Mai_Dim1+17)=Année_Calendaire,MONTH(Mai_Dim1+17)=5),Mai_Dim1+17,""),IF(AND(YEAR(Mai_Dim1+24)=Année_Calendaire,MONTH(Mai_Dim1+24)=5),Mai_Dim1+24,""))</f>
        <v>42508</v>
      </c>
      <c r="AG78" s="67">
        <f>IF(DAY(Mai_Dim1)=1,IF(AND(YEAR(Mai_Dim1+18)=Année_Calendaire,MONTH(Mai_Dim1+18)=5),Mai_Dim1+18,""),IF(AND(YEAR(Mai_Dim1+25)=Année_Calendaire,MONTH(Mai_Dim1+25)=5),Mai_Dim1+25,""))</f>
        <v>42509</v>
      </c>
      <c r="AH78" s="67">
        <f>IF(DAY(Mai_Dim1)=1,IF(AND(YEAR(Mai_Dim1+19)=Année_Calendaire,MONTH(Mai_Dim1+19)=5),Mai_Dim1+19,""),IF(AND(YEAR(Mai_Dim1+26)=Année_Calendaire,MONTH(Mai_Dim1+26)=5),Mai_Dim1+26,""))</f>
        <v>42510</v>
      </c>
      <c r="AI78" s="67">
        <f>IF(DAY(Mai_Dim1)=1,IF(AND(YEAR(Mai_Dim1+20)=Année_Calendaire,MONTH(Mai_Dim1+20)=5),Mai_Dim1+20,""),IF(AND(YEAR(Mai_Dim1+27)=Année_Calendaire,MONTH(Mai_Dim1+27)=5),Mai_Dim1+27,""))</f>
        <v>42511</v>
      </c>
      <c r="AJ78" s="67">
        <f>IF(DAY(Mai_Dim1)=1,IF(AND(YEAR(Mai_Dim1+21)=Année_Calendaire,MONTH(Mai_Dim1+21)=5),Mai_Dim1+21,""),IF(AND(YEAR(Mai_Dim1+28)=Année_Calendaire,MONTH(Mai_Dim1+28)=5),Mai_Dim1+28,""))</f>
        <v>42512</v>
      </c>
      <c r="AK78" s="96"/>
      <c r="AL78" s="87"/>
      <c r="AM78" s="67">
        <f>IF(DAY(Mai_Dim1)=1,IF(AND(YEAR(Mai_Dim1+22)=Année_Calendaire,MONTH(Mai_Dim1+22)=5),Mai_Dim1+22,""),IF(AND(YEAR(Mai_Dim1+29)=Année_Calendaire,MONTH(Mai_Dim1+29)=5),Mai_Dim1+29,""))</f>
        <v>42513</v>
      </c>
      <c r="AN78" s="67">
        <f>IF(DAY(Mai_Dim1)=1,IF(AND(YEAR(Mai_Dim1+23)=Année_Calendaire,MONTH(Mai_Dim1+23)=5),Mai_Dim1+23,""),IF(AND(YEAR(Mai_Dim1+30)=Année_Calendaire,MONTH(Mai_Dim1+30)=5),Mai_Dim1+30,""))</f>
        <v>42514</v>
      </c>
      <c r="AO78" s="67">
        <f>IF(DAY(Mai_Dim1)=1,IF(AND(YEAR(Mai_Dim1+24)=Année_Calendaire,MONTH(Mai_Dim1+24)=5),Mai_Dim1+24,""),IF(AND(YEAR(Mai_Dim1+31)=Année_Calendaire,MONTH(Mai_Dim1+31)=5),Mai_Dim1+31,""))</f>
        <v>42515</v>
      </c>
      <c r="AP78" s="67">
        <f>IF(DAY(Mai_Dim1)=1,IF(AND(YEAR(Mai_Dim1+25)=Année_Calendaire,MONTH(Mai_Dim1+25)=5),Mai_Dim1+25,""),IF(AND(YEAR(Mai_Dim1+32)=Année_Calendaire,MONTH(Mai_Dim1+32)=5),Mai_Dim1+32,""))</f>
        <v>42516</v>
      </c>
      <c r="AQ78" s="67">
        <f>IF(DAY(Mai_Dim1)=1,IF(AND(YEAR(Mai_Dim1+26)=Année_Calendaire,MONTH(Mai_Dim1+26)=5),Mai_Dim1+26,""),IF(AND(YEAR(Mai_Dim1+33)=Année_Calendaire,MONTH(Mai_Dim1+33)=5),Mai_Dim1+33,""))</f>
        <v>42517</v>
      </c>
      <c r="AR78" s="67">
        <f>IF(DAY(Mai_Dim1)=1,IF(AND(YEAR(Mai_Dim1+27)=Année_Calendaire,MONTH(Mai_Dim1+27)=5),Mai_Dim1+27,""),IF(AND(YEAR(Mai_Dim1+34)=Année_Calendaire,MONTH(Mai_Dim1+34)=5),Mai_Dim1+34,""))</f>
        <v>42518</v>
      </c>
      <c r="AS78" s="67">
        <f>IF(DAY(Mai_Dim1)=1,IF(AND(YEAR(Mai_Dim1+28)=Année_Calendaire,MONTH(Mai_Dim1+28)=5),Mai_Dim1+28,""),IF(AND(YEAR(Mai_Dim1+35)=Année_Calendaire,MONTH(Mai_Dim1+35)=5),Mai_Dim1+35,""))</f>
        <v>42519</v>
      </c>
      <c r="AT78" s="96"/>
      <c r="AU78" s="87"/>
      <c r="AV78" s="61">
        <f>IF(DAY(Mai_Dim1)=1,IF(AND(YEAR(Mai_Dim1+29)=Année_Calendaire,MONTH(Mai_Dim1+29)=5),Mai_Dim1+29,""),IF(AND(YEAR(Mai_Dim1+36)=Année_Calendaire,MONTH(Mai_Dim1+36)=5),Mai_Dim1+36,""))</f>
        <v>42520</v>
      </c>
      <c r="AW78" s="61">
        <f>IF(DAY(Mai_Dim1)=1,IF(AND(YEAR(Mai_Dim1+30)=Année_Calendaire,MONTH(Mai_Dim1+30)=5),Mai_Dim1+30,""),IF(AND(YEAR(Mai_Dim1+37)=Année_Calendaire,MONTH(Mai_Dim1+37)=5),Mai_Dim1+37,""))</f>
        <v>42521</v>
      </c>
      <c r="AX78" s="96"/>
      <c r="AY78" s="96"/>
      <c r="AZ78" s="97"/>
      <c r="BA78" s="97"/>
      <c r="BB78" s="52"/>
      <c r="BC78" s="52"/>
      <c r="BD78" s="52"/>
      <c r="BE78" s="52"/>
      <c r="BF78" s="35"/>
    </row>
    <row r="79" spans="1:58" s="8" customFormat="1" ht="15" customHeight="1" x14ac:dyDescent="0.25">
      <c r="A79" s="21" t="s">
        <v>2</v>
      </c>
      <c r="B79" s="81"/>
      <c r="C79" s="31"/>
      <c r="D79" s="31"/>
      <c r="E79" s="31"/>
      <c r="F79" s="31"/>
      <c r="G79" s="31"/>
      <c r="H79" s="31"/>
      <c r="I79" s="31"/>
      <c r="J79" s="60"/>
      <c r="K79" s="60"/>
      <c r="L79" s="31"/>
      <c r="M79" s="31"/>
      <c r="N79" s="31"/>
      <c r="O79" s="31"/>
      <c r="P79" s="31"/>
      <c r="Q79" s="31"/>
      <c r="R79" s="31"/>
      <c r="S79" s="60"/>
      <c r="T79" s="60"/>
      <c r="U79" s="31"/>
      <c r="V79" s="31"/>
      <c r="W79" s="31"/>
      <c r="X79" s="31"/>
      <c r="Y79" s="31"/>
      <c r="Z79" s="31"/>
      <c r="AA79" s="31"/>
      <c r="AB79" s="60"/>
      <c r="AC79" s="60"/>
      <c r="AD79" s="31"/>
      <c r="AE79" s="31"/>
      <c r="AF79" s="31"/>
      <c r="AG79" s="31"/>
      <c r="AH79" s="31"/>
      <c r="AI79" s="31"/>
      <c r="AJ79" s="31"/>
      <c r="AK79" s="60"/>
      <c r="AL79" s="60"/>
      <c r="AM79" s="31"/>
      <c r="AN79" s="31"/>
      <c r="AO79" s="31"/>
      <c r="AP79" s="31"/>
      <c r="AQ79" s="31"/>
      <c r="AR79" s="31"/>
      <c r="AS79" s="31"/>
      <c r="AT79" s="60"/>
      <c r="AU79" s="60"/>
      <c r="AV79" s="31"/>
      <c r="AW79" s="31"/>
      <c r="AX79" s="60"/>
      <c r="AY79" s="63"/>
      <c r="AZ79" s="53"/>
      <c r="BA79" s="53"/>
      <c r="BB79" s="53"/>
      <c r="BC79" s="53"/>
      <c r="BD79" s="42"/>
      <c r="BE79" s="42"/>
      <c r="BF79" s="32"/>
    </row>
    <row r="80" spans="1:58" s="7" customFormat="1" ht="15" customHeight="1" x14ac:dyDescent="0.25">
      <c r="A80" s="21" t="s">
        <v>12</v>
      </c>
      <c r="B80" s="81"/>
      <c r="C80" s="60">
        <f t="shared" ref="C80:I80" si="121">IF(C79="Matin",1,IF(C79="AM",1,0))</f>
        <v>0</v>
      </c>
      <c r="D80" s="60">
        <f t="shared" si="121"/>
        <v>0</v>
      </c>
      <c r="E80" s="60">
        <f t="shared" si="121"/>
        <v>0</v>
      </c>
      <c r="F80" s="60">
        <f t="shared" si="121"/>
        <v>0</v>
      </c>
      <c r="G80" s="60">
        <f t="shared" si="121"/>
        <v>0</v>
      </c>
      <c r="H80" s="60">
        <f t="shared" si="121"/>
        <v>0</v>
      </c>
      <c r="I80" s="60">
        <f t="shared" si="121"/>
        <v>0</v>
      </c>
      <c r="J80" s="60">
        <f>SUM(C80:I80)</f>
        <v>0</v>
      </c>
      <c r="K80" s="60"/>
      <c r="L80" s="60">
        <f t="shared" ref="L80:R80" si="122">IF(L79="Matin",1,IF(L79="AM",1,0))</f>
        <v>0</v>
      </c>
      <c r="M80" s="60">
        <f t="shared" si="122"/>
        <v>0</v>
      </c>
      <c r="N80" s="60">
        <f t="shared" si="122"/>
        <v>0</v>
      </c>
      <c r="O80" s="60">
        <f t="shared" si="122"/>
        <v>0</v>
      </c>
      <c r="P80" s="60">
        <f t="shared" si="122"/>
        <v>0</v>
      </c>
      <c r="Q80" s="60">
        <f t="shared" si="122"/>
        <v>0</v>
      </c>
      <c r="R80" s="60">
        <f t="shared" si="122"/>
        <v>0</v>
      </c>
      <c r="S80" s="60">
        <f>SUM(L80:R80)</f>
        <v>0</v>
      </c>
      <c r="T80" s="60"/>
      <c r="U80" s="60">
        <f t="shared" ref="U80:AA80" si="123">IF(U79="Matin",1,IF(U79="AM",1,0))</f>
        <v>0</v>
      </c>
      <c r="V80" s="60">
        <f t="shared" si="123"/>
        <v>0</v>
      </c>
      <c r="W80" s="60">
        <f t="shared" si="123"/>
        <v>0</v>
      </c>
      <c r="X80" s="60">
        <f t="shared" si="123"/>
        <v>0</v>
      </c>
      <c r="Y80" s="60">
        <f t="shared" si="123"/>
        <v>0</v>
      </c>
      <c r="Z80" s="60">
        <f t="shared" si="123"/>
        <v>0</v>
      </c>
      <c r="AA80" s="60">
        <f t="shared" si="123"/>
        <v>0</v>
      </c>
      <c r="AB80" s="60">
        <f>SUM(U80:AA80)</f>
        <v>0</v>
      </c>
      <c r="AC80" s="60"/>
      <c r="AD80" s="60">
        <f t="shared" ref="AD80:AJ80" si="124">IF(AD79="Matin",1,IF(AD79="AM",1,0))</f>
        <v>0</v>
      </c>
      <c r="AE80" s="60">
        <f t="shared" si="124"/>
        <v>0</v>
      </c>
      <c r="AF80" s="60">
        <f t="shared" si="124"/>
        <v>0</v>
      </c>
      <c r="AG80" s="60">
        <f t="shared" si="124"/>
        <v>0</v>
      </c>
      <c r="AH80" s="60">
        <f t="shared" si="124"/>
        <v>0</v>
      </c>
      <c r="AI80" s="60">
        <f t="shared" si="124"/>
        <v>0</v>
      </c>
      <c r="AJ80" s="60">
        <f t="shared" si="124"/>
        <v>0</v>
      </c>
      <c r="AK80" s="60">
        <f>SUM(AD80:AJ80)</f>
        <v>0</v>
      </c>
      <c r="AL80" s="60"/>
      <c r="AM80" s="60">
        <f t="shared" ref="AM80:AS80" si="125">IF(AM79="Matin",1,IF(AM79="AM",1,0))</f>
        <v>0</v>
      </c>
      <c r="AN80" s="60">
        <f t="shared" si="125"/>
        <v>0</v>
      </c>
      <c r="AO80" s="60">
        <f t="shared" si="125"/>
        <v>0</v>
      </c>
      <c r="AP80" s="60">
        <f t="shared" si="125"/>
        <v>0</v>
      </c>
      <c r="AQ80" s="60">
        <f t="shared" si="125"/>
        <v>0</v>
      </c>
      <c r="AR80" s="60">
        <f t="shared" si="125"/>
        <v>0</v>
      </c>
      <c r="AS80" s="60">
        <f t="shared" si="125"/>
        <v>0</v>
      </c>
      <c r="AT80" s="60">
        <f>SUM(AM80:AS80)</f>
        <v>0</v>
      </c>
      <c r="AU80" s="60"/>
      <c r="AV80" s="60">
        <f t="shared" ref="AV80:AW80" si="126">IF(AV79="Matin",1,IF(AV79="AM",1,0))</f>
        <v>0</v>
      </c>
      <c r="AW80" s="60">
        <f t="shared" si="126"/>
        <v>0</v>
      </c>
      <c r="AX80" s="60">
        <f t="shared" ref="AX80:AX87" si="127">SUM(AV80:AW80)</f>
        <v>0</v>
      </c>
      <c r="AY80" s="60">
        <f>J80+S80+AB80+AK80+AT80+AX80</f>
        <v>0</v>
      </c>
      <c r="AZ80" s="20"/>
      <c r="BA80" s="20"/>
      <c r="BB80" s="20"/>
      <c r="BC80" s="20"/>
      <c r="BD80" s="20"/>
      <c r="BE80" s="20"/>
      <c r="BF80" s="29"/>
    </row>
    <row r="81" spans="1:58" s="7" customFormat="1" ht="15" customHeight="1" x14ac:dyDescent="0.25">
      <c r="A81" s="21" t="s">
        <v>4</v>
      </c>
      <c r="B81" s="81"/>
      <c r="C81" s="60">
        <f>IF(C82&gt;=1,1,0)</f>
        <v>0</v>
      </c>
      <c r="D81" s="60">
        <f>IF(D82&gt;=1,1,0)</f>
        <v>0</v>
      </c>
      <c r="E81" s="60">
        <f t="shared" ref="E81:I81" si="128">IF(E82&gt;=1,1,0)</f>
        <v>0</v>
      </c>
      <c r="F81" s="60">
        <f t="shared" si="128"/>
        <v>0</v>
      </c>
      <c r="G81" s="60">
        <f t="shared" si="128"/>
        <v>0</v>
      </c>
      <c r="H81" s="60">
        <f t="shared" si="128"/>
        <v>0</v>
      </c>
      <c r="I81" s="60">
        <f t="shared" si="128"/>
        <v>0</v>
      </c>
      <c r="J81" s="60">
        <f t="shared" ref="J81:J91" si="129">SUM(C81:I81)</f>
        <v>0</v>
      </c>
      <c r="K81" s="60"/>
      <c r="L81" s="60">
        <f>IF(L82&gt;=1,1,0)</f>
        <v>0</v>
      </c>
      <c r="M81" s="60">
        <f t="shared" ref="M81:R81" si="130">IF(M82&gt;=1,1,0)</f>
        <v>0</v>
      </c>
      <c r="N81" s="60">
        <f t="shared" si="130"/>
        <v>0</v>
      </c>
      <c r="O81" s="60">
        <f t="shared" si="130"/>
        <v>0</v>
      </c>
      <c r="P81" s="60">
        <f t="shared" si="130"/>
        <v>0</v>
      </c>
      <c r="Q81" s="60">
        <f t="shared" si="130"/>
        <v>0</v>
      </c>
      <c r="R81" s="60">
        <f t="shared" si="130"/>
        <v>0</v>
      </c>
      <c r="S81" s="60">
        <f t="shared" ref="S81:S91" si="131">SUM(L81:R81)</f>
        <v>0</v>
      </c>
      <c r="T81" s="60"/>
      <c r="U81" s="60">
        <f>IF(U82&gt;=1,1,0)</f>
        <v>0</v>
      </c>
      <c r="V81" s="60">
        <f t="shared" ref="V81:AA81" si="132">IF(V82&gt;=1,1,0)</f>
        <v>0</v>
      </c>
      <c r="W81" s="60">
        <f t="shared" si="132"/>
        <v>0</v>
      </c>
      <c r="X81" s="60">
        <f t="shared" si="132"/>
        <v>0</v>
      </c>
      <c r="Y81" s="60">
        <f t="shared" si="132"/>
        <v>0</v>
      </c>
      <c r="Z81" s="60">
        <f t="shared" si="132"/>
        <v>0</v>
      </c>
      <c r="AA81" s="60">
        <f t="shared" si="132"/>
        <v>0</v>
      </c>
      <c r="AB81" s="60">
        <f t="shared" ref="AB81:AB91" si="133">SUM(U81:AA81)</f>
        <v>0</v>
      </c>
      <c r="AC81" s="60"/>
      <c r="AD81" s="60">
        <f>IF(AD82&gt;=1,1,0)</f>
        <v>0</v>
      </c>
      <c r="AE81" s="60">
        <f t="shared" ref="AE81:AJ81" si="134">IF(AE82&gt;=1,1,0)</f>
        <v>0</v>
      </c>
      <c r="AF81" s="60">
        <f t="shared" si="134"/>
        <v>0</v>
      </c>
      <c r="AG81" s="60">
        <f t="shared" si="134"/>
        <v>0</v>
      </c>
      <c r="AH81" s="60">
        <f t="shared" si="134"/>
        <v>0</v>
      </c>
      <c r="AI81" s="60">
        <f t="shared" si="134"/>
        <v>0</v>
      </c>
      <c r="AJ81" s="60">
        <f t="shared" si="134"/>
        <v>0</v>
      </c>
      <c r="AK81" s="60">
        <f t="shared" ref="AK81:AK91" si="135">SUM(AD81:AJ81)</f>
        <v>0</v>
      </c>
      <c r="AL81" s="60"/>
      <c r="AM81" s="60">
        <f>IF(AM82&gt;=1,1,0)</f>
        <v>0</v>
      </c>
      <c r="AN81" s="60">
        <f t="shared" ref="AN81:AS81" si="136">IF(AN82&gt;=1,1,0)</f>
        <v>0</v>
      </c>
      <c r="AO81" s="60">
        <f t="shared" si="136"/>
        <v>0</v>
      </c>
      <c r="AP81" s="60">
        <f t="shared" si="136"/>
        <v>0</v>
      </c>
      <c r="AQ81" s="60">
        <f t="shared" si="136"/>
        <v>0</v>
      </c>
      <c r="AR81" s="60">
        <f t="shared" si="136"/>
        <v>0</v>
      </c>
      <c r="AS81" s="60">
        <f t="shared" si="136"/>
        <v>0</v>
      </c>
      <c r="AT81" s="60">
        <f t="shared" ref="AT81:AT91" si="137">SUM(AM81:AS81)</f>
        <v>0</v>
      </c>
      <c r="AU81" s="60"/>
      <c r="AV81" s="60">
        <f>IF(AV82&gt;=1,1,0)</f>
        <v>0</v>
      </c>
      <c r="AW81" s="60">
        <f t="shared" ref="AW81" si="138">IF(AW82&gt;=1,1,0)</f>
        <v>0</v>
      </c>
      <c r="AX81" s="60">
        <f t="shared" si="127"/>
        <v>0</v>
      </c>
      <c r="AY81" s="60">
        <f t="shared" ref="AY81:AY90" si="139">J81+S81+AB81+AK81+AT81+AX81</f>
        <v>0</v>
      </c>
      <c r="AZ81" s="13"/>
      <c r="BA81" s="13"/>
      <c r="BB81" s="13"/>
      <c r="BC81" s="13"/>
      <c r="BD81" s="13"/>
      <c r="BE81" s="13"/>
      <c r="BF81" s="41"/>
    </row>
    <row r="82" spans="1:58" s="7" customFormat="1" ht="15" customHeight="1" x14ac:dyDescent="0.25">
      <c r="A82" s="21" t="s">
        <v>3</v>
      </c>
      <c r="B82" s="81"/>
      <c r="C82" s="31"/>
      <c r="D82" s="31"/>
      <c r="E82" s="31"/>
      <c r="F82" s="31"/>
      <c r="G82" s="31"/>
      <c r="H82" s="31"/>
      <c r="I82" s="31"/>
      <c r="J82" s="60">
        <f t="shared" si="129"/>
        <v>0</v>
      </c>
      <c r="K82" s="60"/>
      <c r="L82" s="31"/>
      <c r="M82" s="31"/>
      <c r="N82" s="31"/>
      <c r="O82" s="31"/>
      <c r="P82" s="31"/>
      <c r="Q82" s="31"/>
      <c r="R82" s="31"/>
      <c r="S82" s="60">
        <f t="shared" si="131"/>
        <v>0</v>
      </c>
      <c r="T82" s="60"/>
      <c r="U82" s="31"/>
      <c r="V82" s="31"/>
      <c r="W82" s="31"/>
      <c r="X82" s="31"/>
      <c r="Y82" s="31"/>
      <c r="Z82" s="31"/>
      <c r="AA82" s="31"/>
      <c r="AB82" s="60">
        <f t="shared" si="133"/>
        <v>0</v>
      </c>
      <c r="AC82" s="60"/>
      <c r="AD82" s="31"/>
      <c r="AE82" s="31"/>
      <c r="AF82" s="31"/>
      <c r="AG82" s="31"/>
      <c r="AH82" s="31"/>
      <c r="AI82" s="31"/>
      <c r="AJ82" s="31"/>
      <c r="AK82" s="60">
        <f t="shared" si="135"/>
        <v>0</v>
      </c>
      <c r="AL82" s="60"/>
      <c r="AM82" s="31"/>
      <c r="AN82" s="31"/>
      <c r="AO82" s="31"/>
      <c r="AP82" s="31"/>
      <c r="AQ82" s="31"/>
      <c r="AR82" s="31"/>
      <c r="AS82" s="31"/>
      <c r="AT82" s="60">
        <f t="shared" si="137"/>
        <v>0</v>
      </c>
      <c r="AU82" s="60"/>
      <c r="AV82" s="31"/>
      <c r="AW82" s="31"/>
      <c r="AX82" s="60">
        <f t="shared" si="127"/>
        <v>0</v>
      </c>
      <c r="AY82" s="60">
        <f t="shared" si="139"/>
        <v>0</v>
      </c>
      <c r="AZ82" s="31"/>
      <c r="BA82" s="31"/>
      <c r="BB82" s="31"/>
      <c r="BC82" s="31"/>
      <c r="BD82" s="31"/>
      <c r="BE82" s="31"/>
      <c r="BF82" s="41"/>
    </row>
    <row r="83" spans="1:58" s="7" customFormat="1" ht="15" customHeight="1" x14ac:dyDescent="0.25">
      <c r="A83" s="36" t="s">
        <v>20</v>
      </c>
      <c r="B83" s="82"/>
      <c r="C83" s="66">
        <f>IF(C77&lt;&gt;"Dim",IF(C82&gt;32,MIN(C82,35)-32,0),0)</f>
        <v>0</v>
      </c>
      <c r="D83" s="66">
        <f>IF(D77&lt;&gt;"Dim",IF(SUM($C82:D82)&gt;32,MIN(SUM($C82:D82),35)-32-SUM($C83:C83),0),0)</f>
        <v>0</v>
      </c>
      <c r="E83" s="66">
        <f>IF(E77&lt;&gt;"Dim",IF(SUM($C82:E82)&gt;32,MIN(SUM($C82:E82),35)-32-SUM($C83:D83),0),0)</f>
        <v>0</v>
      </c>
      <c r="F83" s="66">
        <f>IF(F77&lt;&gt;"Dim",IF(SUM($C82:F82)&gt;32,MIN(SUM($C82:F82),35)-32-SUM($C83:E83),0),0)</f>
        <v>0</v>
      </c>
      <c r="G83" s="66">
        <f>IF(G77&lt;&gt;"Dim",IF(SUM($C82:G82)&gt;32,MIN(SUM($C82:G82),35)-32-SUM($C83:F83),0),0)</f>
        <v>0</v>
      </c>
      <c r="H83" s="66">
        <f>IF(H77&lt;&gt;"Dim",IF(SUM($C82:H82)&gt;32,MIN(SUM($C82:H82),35)-32-SUM($C83:G83),0),0)</f>
        <v>0</v>
      </c>
      <c r="I83" s="66">
        <f>IF(I77&lt;&gt;"Dim",IF(SUM($C82:I82)&gt;32,MIN(SUM($C82:I82),35)-32-SUM($C83:H83),0),0)</f>
        <v>0</v>
      </c>
      <c r="J83" s="60">
        <f t="shared" si="129"/>
        <v>0</v>
      </c>
      <c r="K83" s="60"/>
      <c r="L83" s="66">
        <f>IF(L77&lt;&gt;"Dim",IF(L82&gt;32,MIN(L82,35)-32,0),0)</f>
        <v>0</v>
      </c>
      <c r="M83" s="66">
        <f>IF(M77&lt;&gt;"Dim",IF(SUM($L82:M82)&gt;32,MIN(SUM($L82:M82),35)-32-SUM($L83:L83),0),0)</f>
        <v>0</v>
      </c>
      <c r="N83" s="66">
        <f>IF(N77&lt;&gt;"Dim",IF(SUM($L82:N82)&gt;32,MIN(SUM($L82:N82),35)-32-SUM($L83:M83),0),0)</f>
        <v>0</v>
      </c>
      <c r="O83" s="66">
        <f>IF(O77&lt;&gt;"Dim",IF(SUM($L82:O82)&gt;32,MIN(SUM($L82:O82),35)-32-SUM($L83:N83),0),0)</f>
        <v>0</v>
      </c>
      <c r="P83" s="66">
        <f>IF(P77&lt;&gt;"Dim",IF(SUM($L82:P82)&gt;32,MIN(SUM($L82:P82),35)-32-SUM($L83:O83),0),0)</f>
        <v>0</v>
      </c>
      <c r="Q83" s="66">
        <f>IF(Q77&lt;&gt;"Dim",IF(SUM($L82:Q82)&gt;32,MIN(SUM($L82:Q82),35)-32-SUM($L83:P83),0),0)</f>
        <v>0</v>
      </c>
      <c r="R83" s="66">
        <f>IF(R77&lt;&gt;"Dim",IF(SUM($L82:R82)&gt;32,MIN(SUM($L82:R82),35)-32-SUM($L83:Q83),0),0)</f>
        <v>0</v>
      </c>
      <c r="S83" s="60">
        <f t="shared" si="131"/>
        <v>0</v>
      </c>
      <c r="T83" s="60"/>
      <c r="U83" s="66">
        <f>IF(U77&lt;&gt;"Dim",IF(U82&gt;32,MIN(U82,35)-32,0),0)</f>
        <v>0</v>
      </c>
      <c r="V83" s="66">
        <f>IF(V77&lt;&gt;"Dim",IF(SUM($U82:V82)&gt;32,MIN(SUM($U82:V82),35)-32-SUM($U83:U83),0),0)</f>
        <v>0</v>
      </c>
      <c r="W83" s="66">
        <f>IF(W77&lt;&gt;"Dim",IF(SUM($U82:W82)&gt;32,MIN(SUM($U82:W82),35)-32-SUM($U83:V83),0),0)</f>
        <v>0</v>
      </c>
      <c r="X83" s="66">
        <f>IF(X77&lt;&gt;"Dim",IF(SUM($U82:X82)&gt;32,MIN(SUM($U82:X82),35)-32-SUM($U83:W83),0),0)</f>
        <v>0</v>
      </c>
      <c r="Y83" s="66">
        <f>IF(Y77&lt;&gt;"Dim",IF(SUM($U82:Y82)&gt;32,MIN(SUM($U82:Y82),35)-32-SUM($U83:X83),0),0)</f>
        <v>0</v>
      </c>
      <c r="Z83" s="66">
        <f>IF(Z77&lt;&gt;"Dim",IF(SUM($U82:Z82)&gt;32,MIN(SUM($U82:Z82),35)-32-SUM($U83:Y83),0),0)</f>
        <v>0</v>
      </c>
      <c r="AA83" s="66">
        <f>IF(AA77&lt;&gt;"Dim",IF(SUM($U82:AA82)&gt;32,MIN(SUM($U82:AA82),35)-32-SUM($U83:Z83),0),0)</f>
        <v>0</v>
      </c>
      <c r="AB83" s="60">
        <f t="shared" si="133"/>
        <v>0</v>
      </c>
      <c r="AC83" s="60"/>
      <c r="AD83" s="66">
        <f>IF(AD77&lt;&gt;"Dim",IF(AD82&gt;32,MIN(AD82,35)-32,0),0)</f>
        <v>0</v>
      </c>
      <c r="AE83" s="66">
        <f>IF(AE77&lt;&gt;"Dim",IF(SUM($AD82:AE82)&gt;32,MIN(SUM($AD82:AE82),35)-32-SUM($AD83:AD83),0),0)</f>
        <v>0</v>
      </c>
      <c r="AF83" s="66">
        <f>IF(AF77&lt;&gt;"Dim",IF(SUM($AD82:AF82)&gt;32,MIN(SUM($AD82:AF82),35)-32-SUM($AD83:AE83),0),0)</f>
        <v>0</v>
      </c>
      <c r="AG83" s="66">
        <f>IF(AG77&lt;&gt;"Dim",IF(SUM($AD82:AG82)&gt;32,MIN(SUM($AD82:AG82),35)-32-SUM($AD83:AF83),0),0)</f>
        <v>0</v>
      </c>
      <c r="AH83" s="66">
        <f>IF(AH77&lt;&gt;"Dim",IF(SUM($AD82:AH82)&gt;32,MIN(SUM($AD82:AH82),35)-32-SUM($AD83:AG83),0),0)</f>
        <v>0</v>
      </c>
      <c r="AI83" s="66">
        <f>IF(AI77&lt;&gt;"Dim",IF(SUM($AD82:AI82)&gt;32,MIN(SUM($AD82:AI82),35)-32-SUM($AD83:AH83),0),0)</f>
        <v>0</v>
      </c>
      <c r="AJ83" s="66">
        <f>IF(AJ77&lt;&gt;"Dim",IF(SUM($AD82:AJ82)&gt;32,MIN(SUM($AD82:AJ82),35)-32-SUM($AD83:AI83),0),0)</f>
        <v>0</v>
      </c>
      <c r="AK83" s="60">
        <f t="shared" si="135"/>
        <v>0</v>
      </c>
      <c r="AL83" s="60"/>
      <c r="AM83" s="66">
        <f>IF(AM77&lt;&gt;"Dim",IF(AM82&gt;32,MIN(AM82,35)-32,0),0)</f>
        <v>0</v>
      </c>
      <c r="AN83" s="66">
        <f>IF(AN77&lt;&gt;"Dim",IF(SUM($AM82:AN82)&gt;32,MIN(SUM($AM82:AN82),35)-32-SUM($AM83:AM83),0),0)</f>
        <v>0</v>
      </c>
      <c r="AO83" s="66">
        <f>IF(AO77&lt;&gt;"Dim",IF(SUM($AM82:AO82)&gt;32,MIN(SUM($AM82:AO82),35)-32-SUM($AM83:AN83),0),0)</f>
        <v>0</v>
      </c>
      <c r="AP83" s="66">
        <f>IF(AP77&lt;&gt;"Dim",IF(SUM($AM82:AP82)&gt;32,MIN(SUM($AM82:AP82),35)-32-SUM($AM83:AO83),0),0)</f>
        <v>0</v>
      </c>
      <c r="AQ83" s="66">
        <f>IF(AQ77&lt;&gt;"Dim",IF(SUM($AM82:AQ82)&gt;32,MIN(SUM($AM82:AQ82),35)-32-SUM($AM83:AP83),0),0)</f>
        <v>0</v>
      </c>
      <c r="AR83" s="66">
        <f>IF(AR77&lt;&gt;"Dim",IF(SUM($AM82:AR82)&gt;32,MIN(SUM($AM82:AR82),35)-32-SUM($AM83:AQ83),0),0)</f>
        <v>0</v>
      </c>
      <c r="AS83" s="66">
        <f>IF(AS77&lt;&gt;"Dim",IF(SUM($AM82:AS82)&gt;32,MIN(SUM($AM82:AS82),35)-32-SUM($AM83:AR83),0),0)</f>
        <v>0</v>
      </c>
      <c r="AT83" s="60">
        <f t="shared" si="137"/>
        <v>0</v>
      </c>
      <c r="AU83" s="60"/>
      <c r="AV83" s="66">
        <f>IF(AV77&lt;&gt;"Dim",IF(AV82&gt;32,MIN(AV82,35)-32,0),0)</f>
        <v>0</v>
      </c>
      <c r="AW83" s="66">
        <f>IF(AW77&lt;&gt;"Dim",IF(SUM($AV82:AW82)&gt;32,MIN(SUM($AV82:AW82),35)-32-SUM($AV83:AV83),0),0)</f>
        <v>0</v>
      </c>
      <c r="AX83" s="60">
        <f t="shared" si="127"/>
        <v>0</v>
      </c>
      <c r="AY83" s="60">
        <f t="shared" si="139"/>
        <v>0</v>
      </c>
      <c r="AZ83" s="13"/>
      <c r="BA83" s="13"/>
      <c r="BB83" s="13"/>
      <c r="BC83" s="13"/>
      <c r="BD83" s="13"/>
      <c r="BE83" s="13"/>
      <c r="BF83" s="35"/>
    </row>
    <row r="84" spans="1:58" s="7" customFormat="1" ht="15" customHeight="1" x14ac:dyDescent="0.25">
      <c r="A84" s="21" t="s">
        <v>6</v>
      </c>
      <c r="B84" s="81"/>
      <c r="C84" s="66">
        <f>IF(C77&lt;&gt;"Dim",IF(C82&gt;35,(MIN(C82,43)-35),0),0)</f>
        <v>0</v>
      </c>
      <c r="D84" s="66">
        <f>IF(D77&lt;&gt;"Dim",IF(SUM($C82:D82)&gt;35,(MIN(SUM($C82:D82),43)-35-SUM($C84:C84)),0),0)</f>
        <v>0</v>
      </c>
      <c r="E84" s="66">
        <f>IF(E77&lt;&gt;"Dim",IF(SUM($C82:E82)&gt;35,(MIN(SUM($C82:E82),43)-35-SUM($C84:D84)),0),0)</f>
        <v>0</v>
      </c>
      <c r="F84" s="66">
        <f>IF(F77&lt;&gt;"Dim",IF(SUM($C82:F82)&gt;35,(MIN(SUM($C82:F82),43)-35-SUM($C84:E84)),0),0)</f>
        <v>0</v>
      </c>
      <c r="G84" s="66">
        <f>IF(G77&lt;&gt;"Dim",IF(SUM($C82:G82)&gt;35,(MIN(SUM($C82:G82),43)-35-SUM($C84:F84)),0),0)</f>
        <v>0</v>
      </c>
      <c r="H84" s="66">
        <f>IF(H77&lt;&gt;"Dim",IF(SUM($C82:H82)&gt;35,(MIN(SUM($C82:H82),43)-35-SUM($C84:G84)),0),0)</f>
        <v>0</v>
      </c>
      <c r="I84" s="66">
        <f>IF(I77&lt;&gt;"Dim",IF(SUM($C82:I82)&gt;35,(MIN(SUM($C82:I82),43)-35-SUM($C84:H84)),0),0)</f>
        <v>0</v>
      </c>
      <c r="J84" s="60">
        <f t="shared" si="129"/>
        <v>0</v>
      </c>
      <c r="K84" s="60"/>
      <c r="L84" s="66">
        <f>IF(L77&lt;&gt;"Dim",IF(L82&gt;35,(MIN(L82,43)-35),0),0)</f>
        <v>0</v>
      </c>
      <c r="M84" s="66">
        <f>IF(M77&lt;&gt;"Dim",IF(SUM($L82:M82)&gt;35,(MIN(SUM($L82:M82),43)-35-SUM($L84:L84)),0),0)</f>
        <v>0</v>
      </c>
      <c r="N84" s="66">
        <f>IF(N77&lt;&gt;"Dim",IF(SUM($L82:N82)&gt;35,(MIN(SUM($L82:N82),43)-35-SUM($L84:M84)),0),0)</f>
        <v>0</v>
      </c>
      <c r="O84" s="66">
        <f>IF(O77&lt;&gt;"Dim",IF(SUM($L82:O82)&gt;35,(MIN(SUM($L82:O82),43)-35-SUM($L84:N84)),0),0)</f>
        <v>0</v>
      </c>
      <c r="P84" s="66">
        <f>IF(P77&lt;&gt;"Dim",IF(SUM($L82:P82)&gt;35,(MIN(SUM($L82:P82),43)-35-SUM($L84:O84)),0),0)</f>
        <v>0</v>
      </c>
      <c r="Q84" s="66">
        <f>IF(Q77&lt;&gt;"Dim",IF(SUM($L82:Q82)&gt;35,(MIN(SUM($L82:Q82),43)-35-SUM($L84:P84)),0),0)</f>
        <v>0</v>
      </c>
      <c r="R84" s="66">
        <f>IF(R77&lt;&gt;"Dim",IF(SUM($L82:R82)&gt;35,(MIN(SUM($L82:R82),43)-35-SUM($L84:Q84)),0),0)</f>
        <v>0</v>
      </c>
      <c r="S84" s="60">
        <f t="shared" si="131"/>
        <v>0</v>
      </c>
      <c r="T84" s="60"/>
      <c r="U84" s="66">
        <f>IF(U77&lt;&gt;"Dim",IF(U82&gt;35,(MIN(U82,43)-35),0),0)</f>
        <v>0</v>
      </c>
      <c r="V84" s="66">
        <f>IF(V77&lt;&gt;"Dim",IF(SUM($U82:V82)&gt;35,(MIN(SUM($U82:V82),43)-35-SUM($U84:U84)),0),0)</f>
        <v>0</v>
      </c>
      <c r="W84" s="66">
        <f>IF(W77&lt;&gt;"Dim",IF(SUM($U82:W82)&gt;35,(MIN(SUM($U82:W82),43)-35-SUM($U84:V84)),0),0)</f>
        <v>0</v>
      </c>
      <c r="X84" s="66">
        <f>IF(X77&lt;&gt;"Dim",IF(SUM($U82:X82)&gt;35,(MIN(SUM($U82:X82),43)-35-SUM($U84:W84)),0),0)</f>
        <v>0</v>
      </c>
      <c r="Y84" s="66">
        <f>IF(Y77&lt;&gt;"Dim",IF(SUM($U82:Y82)&gt;35,(MIN(SUM($U82:Y82),43)-35-SUM($U84:X84)),0),0)</f>
        <v>0</v>
      </c>
      <c r="Z84" s="66">
        <f>IF(Z77&lt;&gt;"Dim",IF(SUM($U82:Z82)&gt;35,(MIN(SUM($U82:Z82),43)-35-SUM($U84:Y84)),0),0)</f>
        <v>0</v>
      </c>
      <c r="AA84" s="66">
        <f>IF(AA77&lt;&gt;"Dim",IF(SUM($U82:AA82)&gt;35,(MIN(SUM($U82:AA82),43)-35-SUM($U84:Z84)),0),0)</f>
        <v>0</v>
      </c>
      <c r="AB84" s="60">
        <f t="shared" si="133"/>
        <v>0</v>
      </c>
      <c r="AC84" s="60"/>
      <c r="AD84" s="66">
        <f>IF(AD77&lt;&gt;"Dim",IF(AD82&gt;35,(MIN(AD82,43)-35),0),0)</f>
        <v>0</v>
      </c>
      <c r="AE84" s="66">
        <f>IF(AE77&lt;&gt;"Dim",IF(SUM($AD82:AE82)&gt;35,(MIN(SUM($AD82:AE82),43)-35-SUM($AD84:AD84)),0),0)</f>
        <v>0</v>
      </c>
      <c r="AF84" s="66">
        <f>IF(AF77&lt;&gt;"Dim",IF(SUM($AD82:AF82)&gt;35,(MIN(SUM($AD82:AF82),43)-35-SUM($AD84:AE84)),0),0)</f>
        <v>0</v>
      </c>
      <c r="AG84" s="66">
        <f>IF(AG77&lt;&gt;"Dim",IF(SUM($AD82:AG82)&gt;35,(MIN(SUM($AD82:AG82),43)-35-SUM($AD84:AF84)),0),0)</f>
        <v>0</v>
      </c>
      <c r="AH84" s="66">
        <f>IF(AH77&lt;&gt;"Dim",IF(SUM($AD82:AH82)&gt;35,(MIN(SUM($AD82:AH82),43)-35-SUM($AD84:AG84)),0),0)</f>
        <v>0</v>
      </c>
      <c r="AI84" s="66">
        <f>IF(AI77&lt;&gt;"Dim",IF(SUM($AD82:AI82)&gt;35,(MIN(SUM($AD82:AI82),43)-35-SUM($AD84:AH84)),0),0)</f>
        <v>0</v>
      </c>
      <c r="AJ84" s="66">
        <f>IF(AJ77&lt;&gt;"Dim",IF(SUM($AD82:AJ82)&gt;35,(MIN(SUM($AD82:AJ82),43)-35-SUM($AD84:AI84)),0),0)</f>
        <v>0</v>
      </c>
      <c r="AK84" s="60">
        <f t="shared" si="135"/>
        <v>0</v>
      </c>
      <c r="AL84" s="60"/>
      <c r="AM84" s="66">
        <f>IF(AM77&lt;&gt;"Dim",IF(AM82&gt;35,(MIN(AM82,43)-35),0),0)</f>
        <v>0</v>
      </c>
      <c r="AN84" s="66">
        <f>IF(AN77&lt;&gt;"Dim",IF(SUM($AM82:AN82)&gt;35,(MIN(SUM($AM82:AN82),43)-35-SUM($AM84:AM84)),0),0)</f>
        <v>0</v>
      </c>
      <c r="AO84" s="66">
        <f>IF(AO77&lt;&gt;"Dim",IF(SUM($AM82:AO82)&gt;35,(MIN(SUM($AM82:AO82),43)-35-SUM($AM84:AN84)),0),0)</f>
        <v>0</v>
      </c>
      <c r="AP84" s="66">
        <f>IF(AP77&lt;&gt;"Dim",IF(SUM($AM82:AP82)&gt;35,(MIN(SUM($AM82:AP82),43)-35-SUM($AM84:AO84)),0),0)</f>
        <v>0</v>
      </c>
      <c r="AQ84" s="66">
        <f>IF(AQ77&lt;&gt;"Dim",IF(SUM($AM82:AQ82)&gt;35,(MIN(SUM($AM82:AQ82),43)-35-SUM($AM84:AP84)),0),0)</f>
        <v>0</v>
      </c>
      <c r="AR84" s="66">
        <f>IF(AR77&lt;&gt;"Dim",IF(SUM($AM82:AR82)&gt;35,(MIN(SUM($AM82:AR82),43)-35-SUM($AM84:AQ84)),0),0)</f>
        <v>0</v>
      </c>
      <c r="AS84" s="66">
        <f>IF(AS77&lt;&gt;"Dim",IF(SUM($AM82:AS82)&gt;35,(MIN(SUM($AM82:AS82),43)-35-SUM($AM84:AR84)),0),0)</f>
        <v>0</v>
      </c>
      <c r="AT84" s="60">
        <f t="shared" si="137"/>
        <v>0</v>
      </c>
      <c r="AU84" s="60"/>
      <c r="AV84" s="66">
        <f>IF(AV77&lt;&gt;"Dim",IF(AV82&gt;35,(MIN(AV82,43)-35),0),0)</f>
        <v>0</v>
      </c>
      <c r="AW84" s="66">
        <f>IF(AW77&lt;&gt;"Dim",IF(SUM($AV82:AW82)&gt;35,(MIN(SUM($AV82:AW82),43)-35-SUM($AV84:AV84)),0),0)</f>
        <v>0</v>
      </c>
      <c r="AX84" s="60">
        <f t="shared" si="127"/>
        <v>0</v>
      </c>
      <c r="AY84" s="60">
        <f t="shared" si="139"/>
        <v>0</v>
      </c>
      <c r="AZ84" s="13"/>
      <c r="BA84" s="13"/>
      <c r="BB84" s="13"/>
      <c r="BC84" s="13"/>
      <c r="BD84" s="13"/>
      <c r="BE84" s="13"/>
      <c r="BF84" s="35"/>
    </row>
    <row r="85" spans="1:58" s="7" customFormat="1" ht="15" customHeight="1" x14ac:dyDescent="0.25">
      <c r="A85" s="21" t="s">
        <v>5</v>
      </c>
      <c r="B85" s="81"/>
      <c r="C85" s="66">
        <f>IF(C77&lt;&gt;"Dim",IF(C82&gt;43,(MIN(C82,48)-43),0),0)</f>
        <v>0</v>
      </c>
      <c r="D85" s="66">
        <f>IF(D77&lt;&gt;"Dim",IF(SUM($C82:D82)&gt;43,(MIN(SUM($C82:D82),48)-43-SUM($C85:C85)),0),0)</f>
        <v>0</v>
      </c>
      <c r="E85" s="66">
        <f>IF(E77&lt;&gt;"Dim",IF(SUM($C82:E82)&gt;43,(MIN(SUM($C82:E82),48)-43-SUM($C85:D85)),0),0)</f>
        <v>0</v>
      </c>
      <c r="F85" s="66">
        <f>IF(F77&lt;&gt;"Dim",IF(SUM($C82:F82)&gt;43,(MIN(SUM($C82:F82),48)-43-SUM($C85:E85)),0),0)</f>
        <v>0</v>
      </c>
      <c r="G85" s="66">
        <f>IF(G77&lt;&gt;"Dim",IF(SUM($C82:G82)&gt;43,(MIN(SUM($C82:G82),48)-43-SUM($C85:F85)),0),0)</f>
        <v>0</v>
      </c>
      <c r="H85" s="66">
        <f>IF(H77&lt;&gt;"Dim",IF(SUM($C82:H82)&gt;43,(MIN(SUM($C82:H82),48)-43-SUM($C85:G85)),0),0)</f>
        <v>0</v>
      </c>
      <c r="I85" s="66">
        <f>IF(I77&lt;&gt;"Dim",IF(SUM($C82:I82)&gt;43,(MIN(SUM($C82:I82),48)-43-SUM($C85:H85)),0),0)</f>
        <v>0</v>
      </c>
      <c r="J85" s="60">
        <f t="shared" si="129"/>
        <v>0</v>
      </c>
      <c r="K85" s="60"/>
      <c r="L85" s="66">
        <f>IF(L77&lt;&gt;"Dim",IF(L82&gt;43,(MIN(L82,48)-43),0),0)</f>
        <v>0</v>
      </c>
      <c r="M85" s="66">
        <f>IF(M77&lt;&gt;"Dim",IF(SUM($L82:M82)&gt;43,(MIN(SUM($L82:M82),48)-43-SUM($L85:L85)),0),0)</f>
        <v>0</v>
      </c>
      <c r="N85" s="66">
        <f>IF(N77&lt;&gt;"Dim",IF(SUM($L82:N82)&gt;43,(MIN(SUM($L82:N82),48)-43-SUM($L85:M85)),0),0)</f>
        <v>0</v>
      </c>
      <c r="O85" s="66">
        <f>IF(O77&lt;&gt;"Dim",IF(SUM($L82:O82)&gt;43,(MIN(SUM($L82:O82),48)-43-SUM($L85:N85)),0),0)</f>
        <v>0</v>
      </c>
      <c r="P85" s="66">
        <f>IF(P77&lt;&gt;"Dim",IF(SUM($L82:P82)&gt;43,(MIN(SUM($L82:P82),48)-43-SUM($L85:O85)),0),0)</f>
        <v>0</v>
      </c>
      <c r="Q85" s="66">
        <f>IF(Q77&lt;&gt;"Dim",IF(SUM($L82:Q82)&gt;43,(MIN(SUM($L82:Q82),48)-43-SUM($L85:P85)),0),0)</f>
        <v>0</v>
      </c>
      <c r="R85" s="66">
        <f>IF(R77&lt;&gt;"Dim",IF(SUM($L82:R82)&gt;43,(MIN(SUM($L82:R82),48)-43-SUM($L85:Q85)),0),0)</f>
        <v>0</v>
      </c>
      <c r="S85" s="60">
        <f t="shared" si="131"/>
        <v>0</v>
      </c>
      <c r="T85" s="60"/>
      <c r="U85" s="66">
        <f>IF(U77&lt;&gt;"Dim",IF(U82&gt;43,(MIN(U82,48)-43),0),0)</f>
        <v>0</v>
      </c>
      <c r="V85" s="66">
        <f>IF(V77&lt;&gt;"Dim",IF(SUM($U82:V82)&gt;43,(MIN(SUM($U82:V82),48)-43-SUM($U85:U85)),0),0)</f>
        <v>0</v>
      </c>
      <c r="W85" s="66">
        <f>IF(W77&lt;&gt;"Dim",IF(SUM($U82:W82)&gt;43,(MIN(SUM($U82:W82),48)-43-SUM($U85:V85)),0),0)</f>
        <v>0</v>
      </c>
      <c r="X85" s="66">
        <f>IF(X77&lt;&gt;"Dim",IF(SUM($U82:X82)&gt;43,(MIN(SUM($U82:X82),48)-43-SUM($U85:W85)),0),0)</f>
        <v>0</v>
      </c>
      <c r="Y85" s="66">
        <f>IF(Y77&lt;&gt;"Dim",IF(SUM($U82:Y82)&gt;43,(MIN(SUM($U82:Y82),48)-43-SUM($U85:X85)),0),0)</f>
        <v>0</v>
      </c>
      <c r="Z85" s="66">
        <f>IF(Z77&lt;&gt;"Dim",IF(SUM($U82:Z82)&gt;43,(MIN(SUM($U82:Z82),48)-43-SUM($U85:Y85)),0),0)</f>
        <v>0</v>
      </c>
      <c r="AA85" s="66">
        <f>IF(AA77&lt;&gt;"Dim",IF(SUM($U82:AA82)&gt;43,(MIN(SUM($U82:AA82),48)-43-SUM($U85:Z85)),0),0)</f>
        <v>0</v>
      </c>
      <c r="AB85" s="60">
        <f t="shared" si="133"/>
        <v>0</v>
      </c>
      <c r="AC85" s="60"/>
      <c r="AD85" s="66">
        <f>IF(AD77&lt;&gt;"Dim",IF(AD82&gt;43,(MIN(AD82,48)-43),0),0)</f>
        <v>0</v>
      </c>
      <c r="AE85" s="66">
        <f>IF(AE77&lt;&gt;"Dim",IF(SUM($AD82:AE82)&gt;43,(MIN(SUM($AD82:AE82),48)-43-SUM($AD85:AD85)),0),0)</f>
        <v>0</v>
      </c>
      <c r="AF85" s="66">
        <f>IF(AF77&lt;&gt;"Dim",IF(SUM($AD82:AF82)&gt;43,(MIN(SUM($AD82:AF82),48)-43-SUM($AD85:AE85)),0),0)</f>
        <v>0</v>
      </c>
      <c r="AG85" s="66">
        <f>IF(AG77&lt;&gt;"Dim",IF(SUM($AD82:AG82)&gt;43,(MIN(SUM($AD82:AG82),48)-43-SUM($AD85:AF85)),0),0)</f>
        <v>0</v>
      </c>
      <c r="AH85" s="66">
        <f>IF(AH77&lt;&gt;"Dim",IF(SUM($AD82:AH82)&gt;43,(MIN(SUM($AD82:AH82),48)-43-SUM($AD85:AG85)),0),0)</f>
        <v>0</v>
      </c>
      <c r="AI85" s="66">
        <f>IF(AI77&lt;&gt;"Dim",IF(SUM($AD82:AI82)&gt;43,(MIN(SUM($AD82:AI82),48)-43-SUM($AD85:AH85)),0),0)</f>
        <v>0</v>
      </c>
      <c r="AJ85" s="66">
        <f>IF(AJ77&lt;&gt;"Dim",IF(SUM($AD82:AJ82)&gt;43,(MIN(SUM($AD82:AJ82),48)-43-SUM($AD85:AI85)),0),0)</f>
        <v>0</v>
      </c>
      <c r="AK85" s="60">
        <f t="shared" si="135"/>
        <v>0</v>
      </c>
      <c r="AL85" s="60"/>
      <c r="AM85" s="66">
        <f>IF(AM77&lt;&gt;"Dim",IF(AM82&gt;43,(MIN(AM82,48)-43),0),0)</f>
        <v>0</v>
      </c>
      <c r="AN85" s="66">
        <f>IF(AN77&lt;&gt;"Dim",IF(SUM($AM82:AN82)&gt;43,(MIN(SUM($AM82:AN82),48)-43-SUM($AM85:AM85)),0),0)</f>
        <v>0</v>
      </c>
      <c r="AO85" s="66">
        <f>IF(AO77&lt;&gt;"Dim",IF(SUM($AM82:AO82)&gt;43,(MIN(SUM($AM82:AO82),48)-43-SUM($AM85:AN85)),0),0)</f>
        <v>0</v>
      </c>
      <c r="AP85" s="66">
        <f>IF(AP77&lt;&gt;"Dim",IF(SUM($AM82:AP82)&gt;43,(MIN(SUM($AM82:AP82),48)-43-SUM($AM85:AO85)),0),0)</f>
        <v>0</v>
      </c>
      <c r="AQ85" s="66">
        <f>IF(AQ77&lt;&gt;"Dim",IF(SUM($AM82:AQ82)&gt;43,(MIN(SUM($AM82:AQ82),48)-43-SUM($AM85:AP85)),0),0)</f>
        <v>0</v>
      </c>
      <c r="AR85" s="66">
        <f>IF(AR77&lt;&gt;"Dim",IF(SUM($AM82:AR82)&gt;43,(MIN(SUM($AM82:AR82),48)-43-SUM($AM85:AQ85)),0),0)</f>
        <v>0</v>
      </c>
      <c r="AS85" s="66">
        <f>IF(AS77&lt;&gt;"Dim",IF(SUM($AM82:AS82)&gt;43,(MIN(SUM($AM82:AS82),48)-43-SUM($AM85:AR85)),0),0)</f>
        <v>0</v>
      </c>
      <c r="AT85" s="60">
        <f t="shared" si="137"/>
        <v>0</v>
      </c>
      <c r="AU85" s="60"/>
      <c r="AV85" s="66">
        <f>IF(AV77&lt;&gt;"Dim",IF(AV82&gt;43,(MIN(AV82,48)-43),0),0)</f>
        <v>0</v>
      </c>
      <c r="AW85" s="66">
        <f>IF(AW77&lt;&gt;"Dim",IF(SUM($AV82:AW82)&gt;43,(MIN(SUM($AV82:AW82),48)-43-SUM($AV85:AV85)),0),0)</f>
        <v>0</v>
      </c>
      <c r="AX85" s="60">
        <f t="shared" si="127"/>
        <v>0</v>
      </c>
      <c r="AY85" s="60">
        <f t="shared" si="139"/>
        <v>0</v>
      </c>
      <c r="AZ85" s="13"/>
      <c r="BA85" s="13"/>
      <c r="BB85" s="13"/>
      <c r="BC85" s="13"/>
      <c r="BD85" s="13"/>
      <c r="BE85" s="13"/>
      <c r="BF85" s="35"/>
    </row>
    <row r="86" spans="1:58" s="7" customFormat="1" ht="15" customHeight="1" x14ac:dyDescent="0.25">
      <c r="A86" s="21" t="s">
        <v>7</v>
      </c>
      <c r="B86" s="81"/>
      <c r="C86" s="66">
        <f>IF(C77="Dim",C82,IF(C92="ferie",C82,0))</f>
        <v>0</v>
      </c>
      <c r="D86" s="66">
        <f t="shared" ref="D86:I86" si="140">IF(D77="Dim",D82,IF(D92="ferie",D82,0))</f>
        <v>0</v>
      </c>
      <c r="E86" s="66">
        <f t="shared" si="140"/>
        <v>0</v>
      </c>
      <c r="F86" s="66">
        <f t="shared" si="140"/>
        <v>0</v>
      </c>
      <c r="G86" s="66">
        <f t="shared" si="140"/>
        <v>0</v>
      </c>
      <c r="H86" s="66">
        <f t="shared" si="140"/>
        <v>0</v>
      </c>
      <c r="I86" s="66">
        <f t="shared" si="140"/>
        <v>0</v>
      </c>
      <c r="J86" s="60">
        <f t="shared" si="129"/>
        <v>0</v>
      </c>
      <c r="K86" s="60"/>
      <c r="L86" s="66">
        <f>IF(L77="Dim",L82,IF(L92="ferie",L82,0))</f>
        <v>0</v>
      </c>
      <c r="M86" s="66">
        <f t="shared" ref="M86:R86" si="141">IF(M77="Dim",M82,IF(M92="ferie",M82,0))</f>
        <v>0</v>
      </c>
      <c r="N86" s="66">
        <f t="shared" si="141"/>
        <v>0</v>
      </c>
      <c r="O86" s="66">
        <f t="shared" si="141"/>
        <v>0</v>
      </c>
      <c r="P86" s="66">
        <f t="shared" si="141"/>
        <v>0</v>
      </c>
      <c r="Q86" s="66">
        <f>IF(Q77="Dim",Q82,IF(Q92="ferie",Q82,0))</f>
        <v>0</v>
      </c>
      <c r="R86" s="66">
        <f t="shared" si="141"/>
        <v>0</v>
      </c>
      <c r="S86" s="60">
        <f t="shared" si="131"/>
        <v>0</v>
      </c>
      <c r="T86" s="60"/>
      <c r="U86" s="66">
        <f>IF(U77="Dim",U82,IF(U92="ferie",U82,0))</f>
        <v>0</v>
      </c>
      <c r="V86" s="66">
        <f t="shared" ref="V86:AA86" si="142">IF(V77="Dim",V82,IF(V92="ferie",V82,0))</f>
        <v>0</v>
      </c>
      <c r="W86" s="66">
        <f t="shared" si="142"/>
        <v>0</v>
      </c>
      <c r="X86" s="66">
        <f t="shared" si="142"/>
        <v>0</v>
      </c>
      <c r="Y86" s="66">
        <f t="shared" si="142"/>
        <v>0</v>
      </c>
      <c r="Z86" s="66">
        <f t="shared" si="142"/>
        <v>0</v>
      </c>
      <c r="AA86" s="66">
        <f t="shared" si="142"/>
        <v>0</v>
      </c>
      <c r="AB86" s="60">
        <f t="shared" si="133"/>
        <v>0</v>
      </c>
      <c r="AC86" s="60"/>
      <c r="AD86" s="66">
        <f>IF(AD77="Dim",AD82,IF(AD92="ferie",AD82,0))</f>
        <v>0</v>
      </c>
      <c r="AE86" s="66">
        <f t="shared" ref="AE86:AJ86" si="143">IF(AE77="Dim",AE82,IF(AE92="ferie",AE82,0))</f>
        <v>0</v>
      </c>
      <c r="AF86" s="66">
        <f t="shared" si="143"/>
        <v>0</v>
      </c>
      <c r="AG86" s="66">
        <f t="shared" si="143"/>
        <v>0</v>
      </c>
      <c r="AH86" s="66">
        <f t="shared" si="143"/>
        <v>0</v>
      </c>
      <c r="AI86" s="66">
        <f t="shared" si="143"/>
        <v>0</v>
      </c>
      <c r="AJ86" s="66">
        <f t="shared" si="143"/>
        <v>0</v>
      </c>
      <c r="AK86" s="60">
        <f t="shared" si="135"/>
        <v>0</v>
      </c>
      <c r="AL86" s="60"/>
      <c r="AM86" s="66">
        <f>IF(AM77="Dim",AM82,IF(AM92="ferie",AM82,0))</f>
        <v>0</v>
      </c>
      <c r="AN86" s="66">
        <f t="shared" ref="AN86:AW86" si="144">IF(AN77="Dim",AN82,IF(AN92="ferie",AN82,0))</f>
        <v>0</v>
      </c>
      <c r="AO86" s="66">
        <f t="shared" si="144"/>
        <v>0</v>
      </c>
      <c r="AP86" s="66">
        <f t="shared" si="144"/>
        <v>0</v>
      </c>
      <c r="AQ86" s="66">
        <f t="shared" si="144"/>
        <v>0</v>
      </c>
      <c r="AR86" s="66">
        <f t="shared" si="144"/>
        <v>0</v>
      </c>
      <c r="AS86" s="66">
        <f t="shared" si="144"/>
        <v>0</v>
      </c>
      <c r="AT86" s="60">
        <f>SUM(AM86:AS86)</f>
        <v>0</v>
      </c>
      <c r="AU86" s="60"/>
      <c r="AV86" s="66">
        <f>IF(AV77="Dim",AV82,IF(AV92="ferie",AV82,0))</f>
        <v>0</v>
      </c>
      <c r="AW86" s="66">
        <f t="shared" si="144"/>
        <v>0</v>
      </c>
      <c r="AX86" s="60">
        <f t="shared" si="127"/>
        <v>0</v>
      </c>
      <c r="AY86" s="60">
        <f t="shared" si="139"/>
        <v>0</v>
      </c>
      <c r="AZ86" s="13"/>
      <c r="BA86" s="13"/>
      <c r="BB86" s="13"/>
      <c r="BC86" s="13"/>
      <c r="BD86" s="13"/>
      <c r="BE86" s="13"/>
      <c r="BF86" s="35"/>
    </row>
    <row r="87" spans="1:58" s="7" customFormat="1" ht="15" customHeight="1" x14ac:dyDescent="0.25">
      <c r="A87" s="21" t="s">
        <v>8</v>
      </c>
      <c r="B87" s="81"/>
      <c r="C87" s="31"/>
      <c r="D87" s="31"/>
      <c r="E87" s="31"/>
      <c r="F87" s="31"/>
      <c r="G87" s="31"/>
      <c r="H87" s="31"/>
      <c r="I87" s="31"/>
      <c r="J87" s="60">
        <f t="shared" si="129"/>
        <v>0</v>
      </c>
      <c r="K87" s="60"/>
      <c r="L87" s="31"/>
      <c r="M87" s="31"/>
      <c r="N87" s="31"/>
      <c r="O87" s="31"/>
      <c r="P87" s="31"/>
      <c r="Q87" s="31"/>
      <c r="R87" s="31"/>
      <c r="S87" s="60">
        <f t="shared" si="131"/>
        <v>0</v>
      </c>
      <c r="T87" s="60"/>
      <c r="U87" s="31"/>
      <c r="V87" s="31"/>
      <c r="W87" s="31"/>
      <c r="X87" s="31"/>
      <c r="Y87" s="31"/>
      <c r="Z87" s="31"/>
      <c r="AA87" s="31"/>
      <c r="AB87" s="60">
        <f t="shared" si="133"/>
        <v>0</v>
      </c>
      <c r="AC87" s="60"/>
      <c r="AD87" s="31"/>
      <c r="AE87" s="31"/>
      <c r="AF87" s="31"/>
      <c r="AG87" s="31"/>
      <c r="AH87" s="31"/>
      <c r="AI87" s="31"/>
      <c r="AJ87" s="31"/>
      <c r="AK87" s="60">
        <f t="shared" si="135"/>
        <v>0</v>
      </c>
      <c r="AL87" s="60"/>
      <c r="AM87" s="31"/>
      <c r="AN87" s="31"/>
      <c r="AO87" s="31"/>
      <c r="AP87" s="31"/>
      <c r="AQ87" s="31"/>
      <c r="AR87" s="31"/>
      <c r="AS87" s="31"/>
      <c r="AT87" s="60">
        <f t="shared" si="137"/>
        <v>0</v>
      </c>
      <c r="AU87" s="60"/>
      <c r="AV87" s="31"/>
      <c r="AW87" s="31"/>
      <c r="AX87" s="60">
        <f t="shared" si="127"/>
        <v>0</v>
      </c>
      <c r="AY87" s="60">
        <f t="shared" si="139"/>
        <v>0</v>
      </c>
      <c r="AZ87" s="13"/>
      <c r="BA87" s="13"/>
      <c r="BB87" s="13"/>
      <c r="BC87" s="13"/>
      <c r="BD87" s="13"/>
      <c r="BE87" s="13"/>
      <c r="BF87" s="35"/>
    </row>
    <row r="88" spans="1:58" s="8" customFormat="1" ht="15" customHeight="1" x14ac:dyDescent="0.25">
      <c r="A88" s="36" t="s">
        <v>9</v>
      </c>
      <c r="B88" s="82"/>
      <c r="C88" s="31"/>
      <c r="D88" s="31"/>
      <c r="E88" s="31"/>
      <c r="F88" s="31"/>
      <c r="G88" s="31"/>
      <c r="H88" s="31"/>
      <c r="I88" s="31"/>
      <c r="J88" s="60">
        <f t="shared" si="129"/>
        <v>0</v>
      </c>
      <c r="K88" s="60"/>
      <c r="L88" s="31"/>
      <c r="M88" s="31"/>
      <c r="N88" s="31"/>
      <c r="O88" s="31"/>
      <c r="P88" s="31"/>
      <c r="Q88" s="31"/>
      <c r="R88" s="31"/>
      <c r="S88" s="60">
        <f t="shared" si="131"/>
        <v>0</v>
      </c>
      <c r="T88" s="60"/>
      <c r="U88" s="31"/>
      <c r="V88" s="31"/>
      <c r="W88" s="31"/>
      <c r="X88" s="31"/>
      <c r="Y88" s="31"/>
      <c r="Z88" s="31"/>
      <c r="AA88" s="31"/>
      <c r="AB88" s="60">
        <f t="shared" si="133"/>
        <v>0</v>
      </c>
      <c r="AC88" s="60"/>
      <c r="AD88" s="31"/>
      <c r="AE88" s="31"/>
      <c r="AF88" s="31"/>
      <c r="AG88" s="31"/>
      <c r="AH88" s="31"/>
      <c r="AI88" s="31"/>
      <c r="AJ88" s="31"/>
      <c r="AK88" s="60">
        <f t="shared" si="135"/>
        <v>0</v>
      </c>
      <c r="AL88" s="60"/>
      <c r="AM88" s="31"/>
      <c r="AN88" s="31"/>
      <c r="AO88" s="31"/>
      <c r="AP88" s="31"/>
      <c r="AQ88" s="31"/>
      <c r="AR88" s="31"/>
      <c r="AS88" s="31"/>
      <c r="AT88" s="60">
        <f t="shared" si="137"/>
        <v>0</v>
      </c>
      <c r="AU88" s="60"/>
      <c r="AV88" s="31"/>
      <c r="AW88" s="31"/>
      <c r="AX88" s="60">
        <f t="shared" ref="AX88:AX90" si="145">SUM(AV88:AW88)</f>
        <v>0</v>
      </c>
      <c r="AY88" s="60">
        <f t="shared" si="139"/>
        <v>0</v>
      </c>
      <c r="AZ88" s="52"/>
      <c r="BA88" s="52"/>
      <c r="BB88" s="52"/>
      <c r="BC88" s="52"/>
      <c r="BD88" s="52"/>
      <c r="BE88" s="52"/>
      <c r="BF88" s="35"/>
    </row>
    <row r="89" spans="1:58" s="8" customFormat="1" ht="15" customHeight="1" x14ac:dyDescent="0.25">
      <c r="A89" s="21" t="s">
        <v>11</v>
      </c>
      <c r="B89" s="81"/>
      <c r="C89" s="31"/>
      <c r="D89" s="31"/>
      <c r="E89" s="31"/>
      <c r="F89" s="31"/>
      <c r="G89" s="31"/>
      <c r="H89" s="31"/>
      <c r="I89" s="31"/>
      <c r="J89" s="60">
        <f t="shared" si="129"/>
        <v>0</v>
      </c>
      <c r="K89" s="60"/>
      <c r="L89" s="31"/>
      <c r="M89" s="31"/>
      <c r="N89" s="31"/>
      <c r="O89" s="31"/>
      <c r="P89" s="31"/>
      <c r="Q89" s="31"/>
      <c r="R89" s="31"/>
      <c r="S89" s="60">
        <f t="shared" si="131"/>
        <v>0</v>
      </c>
      <c r="T89" s="60"/>
      <c r="U89" s="31"/>
      <c r="V89" s="31"/>
      <c r="W89" s="31"/>
      <c r="X89" s="31"/>
      <c r="Y89" s="31"/>
      <c r="Z89" s="31"/>
      <c r="AA89" s="31"/>
      <c r="AB89" s="60">
        <f t="shared" si="133"/>
        <v>0</v>
      </c>
      <c r="AC89" s="60"/>
      <c r="AD89" s="31"/>
      <c r="AE89" s="31"/>
      <c r="AF89" s="31"/>
      <c r="AG89" s="31"/>
      <c r="AH89" s="31"/>
      <c r="AI89" s="31"/>
      <c r="AJ89" s="31"/>
      <c r="AK89" s="60">
        <f t="shared" si="135"/>
        <v>0</v>
      </c>
      <c r="AL89" s="60"/>
      <c r="AM89" s="31"/>
      <c r="AN89" s="31"/>
      <c r="AO89" s="31"/>
      <c r="AP89" s="31"/>
      <c r="AQ89" s="31"/>
      <c r="AR89" s="31"/>
      <c r="AS89" s="31"/>
      <c r="AT89" s="60">
        <f t="shared" si="137"/>
        <v>0</v>
      </c>
      <c r="AU89" s="60"/>
      <c r="AV89" s="31"/>
      <c r="AW89" s="31"/>
      <c r="AX89" s="60">
        <f t="shared" si="145"/>
        <v>0</v>
      </c>
      <c r="AY89" s="60">
        <f t="shared" si="139"/>
        <v>0</v>
      </c>
      <c r="AZ89" s="52"/>
      <c r="BA89" s="52"/>
      <c r="BB89" s="52"/>
      <c r="BC89" s="52"/>
      <c r="BD89" s="52"/>
      <c r="BE89" s="52"/>
      <c r="BF89" s="35"/>
    </row>
    <row r="90" spans="1:58" s="8" customFormat="1" ht="15" customHeight="1" x14ac:dyDescent="0.25">
      <c r="A90" s="36" t="s">
        <v>10</v>
      </c>
      <c r="B90" s="82"/>
      <c r="C90" s="31"/>
      <c r="D90" s="31"/>
      <c r="E90" s="31"/>
      <c r="F90" s="31"/>
      <c r="G90" s="31"/>
      <c r="H90" s="31"/>
      <c r="I90" s="31"/>
      <c r="J90" s="60">
        <f t="shared" si="129"/>
        <v>0</v>
      </c>
      <c r="K90" s="60"/>
      <c r="L90" s="31"/>
      <c r="M90" s="31"/>
      <c r="N90" s="31"/>
      <c r="O90" s="31"/>
      <c r="P90" s="31"/>
      <c r="Q90" s="31"/>
      <c r="R90" s="31"/>
      <c r="S90" s="60">
        <f t="shared" si="131"/>
        <v>0</v>
      </c>
      <c r="T90" s="60"/>
      <c r="U90" s="31"/>
      <c r="V90" s="31"/>
      <c r="W90" s="31"/>
      <c r="X90" s="31"/>
      <c r="Y90" s="31"/>
      <c r="Z90" s="31"/>
      <c r="AA90" s="31"/>
      <c r="AB90" s="60">
        <f t="shared" si="133"/>
        <v>0</v>
      </c>
      <c r="AC90" s="60"/>
      <c r="AD90" s="31"/>
      <c r="AE90" s="31"/>
      <c r="AF90" s="31"/>
      <c r="AG90" s="31"/>
      <c r="AH90" s="31"/>
      <c r="AI90" s="31"/>
      <c r="AJ90" s="31"/>
      <c r="AK90" s="60">
        <f t="shared" si="135"/>
        <v>0</v>
      </c>
      <c r="AL90" s="60"/>
      <c r="AM90" s="31"/>
      <c r="AN90" s="31"/>
      <c r="AO90" s="31"/>
      <c r="AP90" s="31"/>
      <c r="AQ90" s="31"/>
      <c r="AR90" s="31"/>
      <c r="AS90" s="31"/>
      <c r="AT90" s="60">
        <f t="shared" si="137"/>
        <v>0</v>
      </c>
      <c r="AU90" s="60"/>
      <c r="AV90" s="31"/>
      <c r="AW90" s="31"/>
      <c r="AX90" s="60">
        <f t="shared" si="145"/>
        <v>0</v>
      </c>
      <c r="AY90" s="60">
        <f t="shared" si="139"/>
        <v>0</v>
      </c>
      <c r="AZ90" s="52"/>
      <c r="BA90" s="52"/>
      <c r="BB90" s="52"/>
      <c r="BC90" s="52"/>
      <c r="BD90" s="52"/>
      <c r="BE90" s="52"/>
      <c r="BF90" s="35"/>
    </row>
    <row r="91" spans="1:58" s="33" customFormat="1" ht="15" customHeight="1" x14ac:dyDescent="0.25">
      <c r="A91" s="36" t="s">
        <v>44</v>
      </c>
      <c r="B91" s="82"/>
      <c r="C91" s="60">
        <f>IF(C79="nuit",C82*0.02,0)</f>
        <v>0</v>
      </c>
      <c r="D91" s="60">
        <f>IF(D79="nuit",D82*0.02,0)</f>
        <v>0</v>
      </c>
      <c r="E91" s="60">
        <f t="shared" ref="E91:I91" si="146">IF(E79="nuit",E82*0.02,0)</f>
        <v>0</v>
      </c>
      <c r="F91" s="60">
        <f t="shared" si="146"/>
        <v>0</v>
      </c>
      <c r="G91" s="60">
        <f>IF(G79="nuit",G82*0.02,0)</f>
        <v>0</v>
      </c>
      <c r="H91" s="60">
        <f t="shared" si="146"/>
        <v>0</v>
      </c>
      <c r="I91" s="60">
        <f t="shared" si="146"/>
        <v>0</v>
      </c>
      <c r="J91" s="60">
        <f t="shared" si="129"/>
        <v>0</v>
      </c>
      <c r="K91" s="60"/>
      <c r="L91" s="60">
        <f>IF(L79="nuit",L82*0.02,0)</f>
        <v>0</v>
      </c>
      <c r="M91" s="60">
        <f>IF(M79="nuit",M82*0.02,0)</f>
        <v>0</v>
      </c>
      <c r="N91" s="60">
        <f t="shared" ref="N91:R91" si="147">IF(N79="nuit",N82*0.02,0)</f>
        <v>0</v>
      </c>
      <c r="O91" s="60">
        <f t="shared" si="147"/>
        <v>0</v>
      </c>
      <c r="P91" s="60">
        <f>IF(P79="nuit",P82*0.02,0)</f>
        <v>0</v>
      </c>
      <c r="Q91" s="60">
        <f t="shared" si="147"/>
        <v>0</v>
      </c>
      <c r="R91" s="60">
        <f t="shared" si="147"/>
        <v>0</v>
      </c>
      <c r="S91" s="60">
        <f t="shared" si="131"/>
        <v>0</v>
      </c>
      <c r="T91" s="60"/>
      <c r="U91" s="60">
        <f>IF(U79="nuit",U82*0.02,0)</f>
        <v>0</v>
      </c>
      <c r="V91" s="60">
        <f>IF(V79="nuit",V82*0.02,0)</f>
        <v>0</v>
      </c>
      <c r="W91" s="60">
        <f t="shared" ref="W91:AA91" si="148">IF(W79="nuit",W82*0.02,0)</f>
        <v>0</v>
      </c>
      <c r="X91" s="60">
        <f t="shared" si="148"/>
        <v>0</v>
      </c>
      <c r="Y91" s="60">
        <f>IF(Y79="nuit",Y82*0.02,0)</f>
        <v>0</v>
      </c>
      <c r="Z91" s="60">
        <f t="shared" si="148"/>
        <v>0</v>
      </c>
      <c r="AA91" s="60">
        <f t="shared" si="148"/>
        <v>0</v>
      </c>
      <c r="AB91" s="60">
        <f t="shared" si="133"/>
        <v>0</v>
      </c>
      <c r="AC91" s="60"/>
      <c r="AD91" s="60">
        <f>IF(AD79="nuit",AD82*0.02,0)</f>
        <v>0</v>
      </c>
      <c r="AE91" s="60">
        <f>IF(AE79="nuit",AE82*0.02,0)</f>
        <v>0</v>
      </c>
      <c r="AF91" s="60">
        <f t="shared" ref="AF91:AJ91" si="149">IF(AF79="nuit",AF82*0.02,0)</f>
        <v>0</v>
      </c>
      <c r="AG91" s="60">
        <f t="shared" si="149"/>
        <v>0</v>
      </c>
      <c r="AH91" s="60">
        <f>IF(AH79="nuit",AH82*0.02,0)</f>
        <v>0</v>
      </c>
      <c r="AI91" s="60">
        <f t="shared" si="149"/>
        <v>0</v>
      </c>
      <c r="AJ91" s="60">
        <f t="shared" si="149"/>
        <v>0</v>
      </c>
      <c r="AK91" s="60">
        <f t="shared" si="135"/>
        <v>0</v>
      </c>
      <c r="AL91" s="60"/>
      <c r="AM91" s="60">
        <f>IF(AM79="nuit",AM82*0.02,0)</f>
        <v>0</v>
      </c>
      <c r="AN91" s="60">
        <f>IF(AN79="nuit",AN82*0.02,0)</f>
        <v>0</v>
      </c>
      <c r="AO91" s="60">
        <f t="shared" ref="AO91:AS91" si="150">IF(AO79="nuit",AO82*0.02,0)</f>
        <v>0</v>
      </c>
      <c r="AP91" s="60">
        <f t="shared" si="150"/>
        <v>0</v>
      </c>
      <c r="AQ91" s="60">
        <f>IF(AQ79="nuit",AQ82*0.02,0)</f>
        <v>0</v>
      </c>
      <c r="AR91" s="60">
        <f t="shared" si="150"/>
        <v>0</v>
      </c>
      <c r="AS91" s="60">
        <f t="shared" si="150"/>
        <v>0</v>
      </c>
      <c r="AT91" s="60">
        <f t="shared" si="137"/>
        <v>0</v>
      </c>
      <c r="AU91" s="60"/>
      <c r="AV91" s="60">
        <f>IF(AV79="nuit",AV82*0.02,0)</f>
        <v>0</v>
      </c>
      <c r="AW91" s="60">
        <f>IF(AW79="nuit",AW82*0.02,0)</f>
        <v>0</v>
      </c>
      <c r="AX91" s="60">
        <f>SUM(AV91:AW91)</f>
        <v>0</v>
      </c>
      <c r="AY91" s="60">
        <f>J91+S91+AB91+AK91+AT91+AX91</f>
        <v>0</v>
      </c>
      <c r="AZ91" s="52"/>
      <c r="BA91" s="52"/>
      <c r="BB91" s="52"/>
      <c r="BC91" s="52"/>
      <c r="BD91" s="52"/>
      <c r="BE91" s="52"/>
      <c r="BF91" s="35"/>
    </row>
    <row r="92" spans="1:58" s="8" customFormat="1" ht="15" customHeight="1" x14ac:dyDescent="0.25">
      <c r="A92" s="21" t="s">
        <v>31</v>
      </c>
      <c r="B92" s="81"/>
      <c r="C92" s="31"/>
      <c r="D92" s="31"/>
      <c r="E92" s="31"/>
      <c r="F92" s="31"/>
      <c r="G92" s="31"/>
      <c r="H92" s="37"/>
      <c r="I92" s="37"/>
      <c r="J92" s="64"/>
      <c r="K92" s="64"/>
      <c r="L92" s="37"/>
      <c r="M92" s="37"/>
      <c r="N92" s="37"/>
      <c r="O92" s="37"/>
      <c r="P92" s="37"/>
      <c r="Q92" s="37"/>
      <c r="R92" s="37"/>
      <c r="S92" s="64"/>
      <c r="T92" s="64"/>
      <c r="U92" s="37"/>
      <c r="V92" s="37"/>
      <c r="W92" s="37"/>
      <c r="X92" s="37"/>
      <c r="Y92" s="37"/>
      <c r="Z92" s="37"/>
      <c r="AA92" s="37"/>
      <c r="AB92" s="64"/>
      <c r="AC92" s="64"/>
      <c r="AD92" s="37"/>
      <c r="AE92" s="37"/>
      <c r="AF92" s="37"/>
      <c r="AG92" s="37"/>
      <c r="AH92" s="37"/>
      <c r="AI92" s="37"/>
      <c r="AJ92" s="37"/>
      <c r="AK92" s="64"/>
      <c r="AL92" s="64"/>
      <c r="AM92" s="37"/>
      <c r="AN92" s="37"/>
      <c r="AO92" s="37"/>
      <c r="AP92" s="37"/>
      <c r="AQ92" s="37"/>
      <c r="AR92" s="37"/>
      <c r="AS92" s="37"/>
      <c r="AT92" s="64"/>
      <c r="AU92" s="64"/>
      <c r="AV92" s="37"/>
      <c r="AW92" s="37"/>
      <c r="AX92" s="64"/>
      <c r="AY92" s="65"/>
      <c r="AZ92" s="52"/>
      <c r="BA92" s="52"/>
      <c r="BB92" s="52"/>
      <c r="BC92" s="52"/>
      <c r="BD92" s="52"/>
      <c r="BE92" s="52"/>
      <c r="BF92" s="35"/>
    </row>
    <row r="93" spans="1:58" s="8" customFormat="1" ht="15" customHeight="1" x14ac:dyDescent="0.25">
      <c r="A93" s="38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69"/>
      <c r="AZ93" s="52"/>
      <c r="BA93" s="52"/>
      <c r="BB93" s="52"/>
      <c r="BC93" s="52"/>
      <c r="BD93" s="52"/>
      <c r="BE93" s="52"/>
      <c r="BF93" s="35"/>
    </row>
    <row r="94" spans="1:58" s="8" customFormat="1" ht="27.6" x14ac:dyDescent="0.25">
      <c r="A94" s="21"/>
      <c r="B94" s="21"/>
      <c r="C94" s="24" t="s">
        <v>24</v>
      </c>
      <c r="D94" s="24"/>
      <c r="E94" s="24"/>
      <c r="F94" s="24"/>
      <c r="G94" s="24"/>
      <c r="H94" s="95">
        <f>Année_Calendaire</f>
        <v>2016</v>
      </c>
      <c r="I94" s="95"/>
      <c r="J94" s="88"/>
      <c r="K94" s="88"/>
      <c r="L94" s="31"/>
      <c r="M94" s="31"/>
      <c r="N94" s="31"/>
      <c r="O94" s="31"/>
      <c r="P94" s="31"/>
      <c r="Q94" s="31"/>
      <c r="R94" s="31"/>
      <c r="S94" s="88"/>
      <c r="T94" s="88"/>
      <c r="U94" s="24" t="s">
        <v>24</v>
      </c>
      <c r="V94" s="24"/>
      <c r="W94" s="24"/>
      <c r="X94" s="24"/>
      <c r="Y94" s="24"/>
      <c r="Z94" s="95">
        <f>Année_Calendaire</f>
        <v>2016</v>
      </c>
      <c r="AA94" s="95"/>
      <c r="AB94" s="88"/>
      <c r="AC94" s="88"/>
      <c r="AD94" s="31"/>
      <c r="AE94" s="31"/>
      <c r="AF94" s="31"/>
      <c r="AG94" s="31"/>
      <c r="AH94" s="31"/>
      <c r="AI94" s="31"/>
      <c r="AJ94" s="31"/>
      <c r="AK94" s="88"/>
      <c r="AL94" s="88"/>
      <c r="AM94" s="24" t="s">
        <v>24</v>
      </c>
      <c r="AN94" s="24"/>
      <c r="AO94" s="24"/>
      <c r="AP94" s="24"/>
      <c r="AQ94" s="24"/>
      <c r="AR94" s="95">
        <f>Année_Calendaire</f>
        <v>2016</v>
      </c>
      <c r="AS94" s="95"/>
      <c r="AT94" s="88"/>
      <c r="AU94" s="88"/>
      <c r="AV94" s="31"/>
      <c r="AW94" s="31"/>
      <c r="AX94" s="88"/>
      <c r="AY94" s="53"/>
      <c r="AZ94" s="42"/>
      <c r="BA94" s="53"/>
      <c r="BB94" s="53"/>
      <c r="BC94" s="53"/>
      <c r="BD94" s="42"/>
      <c r="BE94" s="42"/>
      <c r="BF94" s="32"/>
    </row>
    <row r="95" spans="1:58" ht="29.25" customHeight="1" x14ac:dyDescent="0.25">
      <c r="A95" s="31"/>
      <c r="B95" s="60"/>
      <c r="C95" s="62" t="s">
        <v>13</v>
      </c>
      <c r="D95" s="62" t="s">
        <v>14</v>
      </c>
      <c r="E95" s="62" t="s">
        <v>15</v>
      </c>
      <c r="F95" s="62" t="s">
        <v>16</v>
      </c>
      <c r="G95" s="62" t="s">
        <v>17</v>
      </c>
      <c r="H95" s="62" t="s">
        <v>18</v>
      </c>
      <c r="I95" s="62" t="s">
        <v>19</v>
      </c>
      <c r="J95" s="96" t="s">
        <v>32</v>
      </c>
      <c r="K95" s="87"/>
      <c r="L95" s="62" t="s">
        <v>13</v>
      </c>
      <c r="M95" s="62" t="s">
        <v>14</v>
      </c>
      <c r="N95" s="62" t="s">
        <v>15</v>
      </c>
      <c r="O95" s="62" t="s">
        <v>16</v>
      </c>
      <c r="P95" s="62" t="s">
        <v>17</v>
      </c>
      <c r="Q95" s="62" t="s">
        <v>18</v>
      </c>
      <c r="R95" s="62" t="s">
        <v>19</v>
      </c>
      <c r="S95" s="96" t="s">
        <v>32</v>
      </c>
      <c r="T95" s="87"/>
      <c r="U95" s="62" t="s">
        <v>13</v>
      </c>
      <c r="V95" s="62" t="s">
        <v>14</v>
      </c>
      <c r="W95" s="62" t="s">
        <v>15</v>
      </c>
      <c r="X95" s="62" t="s">
        <v>16</v>
      </c>
      <c r="Y95" s="62" t="s">
        <v>17</v>
      </c>
      <c r="Z95" s="62" t="s">
        <v>18</v>
      </c>
      <c r="AA95" s="62" t="s">
        <v>19</v>
      </c>
      <c r="AB95" s="96" t="s">
        <v>32</v>
      </c>
      <c r="AC95" s="87"/>
      <c r="AD95" s="62" t="s">
        <v>13</v>
      </c>
      <c r="AE95" s="62" t="s">
        <v>14</v>
      </c>
      <c r="AF95" s="62" t="s">
        <v>15</v>
      </c>
      <c r="AG95" s="62" t="s">
        <v>16</v>
      </c>
      <c r="AH95" s="62" t="s">
        <v>17</v>
      </c>
      <c r="AI95" s="62" t="s">
        <v>18</v>
      </c>
      <c r="AJ95" s="62" t="s">
        <v>19</v>
      </c>
      <c r="AK95" s="96" t="s">
        <v>32</v>
      </c>
      <c r="AL95" s="87"/>
      <c r="AM95" s="62" t="s">
        <v>13</v>
      </c>
      <c r="AN95" s="62" t="s">
        <v>14</v>
      </c>
      <c r="AO95" s="62" t="s">
        <v>15</v>
      </c>
      <c r="AP95" s="62" t="s">
        <v>16</v>
      </c>
      <c r="AQ95" s="62" t="s">
        <v>17</v>
      </c>
      <c r="AR95" s="62" t="s">
        <v>18</v>
      </c>
      <c r="AS95" s="62" t="s">
        <v>19</v>
      </c>
      <c r="AT95" s="96" t="s">
        <v>32</v>
      </c>
      <c r="AU95" s="87"/>
      <c r="AV95" s="62" t="s">
        <v>13</v>
      </c>
      <c r="AW95" s="62" t="s">
        <v>14</v>
      </c>
      <c r="AX95" s="96" t="s">
        <v>32</v>
      </c>
      <c r="AY95" s="96" t="s">
        <v>35</v>
      </c>
      <c r="AZ95" s="97">
        <f>AY102+AY103+AY104</f>
        <v>0</v>
      </c>
      <c r="BA95" s="97">
        <f>AZ95+BA77</f>
        <v>15</v>
      </c>
      <c r="BB95" s="13"/>
      <c r="BC95" s="13"/>
      <c r="BD95" s="13"/>
      <c r="BE95" s="13"/>
      <c r="BF95" s="1"/>
    </row>
    <row r="96" spans="1:58" ht="15" customHeight="1" x14ac:dyDescent="0.25">
      <c r="A96" s="48"/>
      <c r="B96" s="83"/>
      <c r="C96" s="67" t="str">
        <f>IF(DAY(Juin_Dim1)=1,"",IF(AND(YEAR(Juin_Dim1+1)=Année_Calendaire,MONTH(Juin_Dim1+1)=6),Juin_Dim1+1,""))</f>
        <v/>
      </c>
      <c r="D96" s="67" t="str">
        <f>IF(DAY(Juin_Dim1)=1,"",IF(AND(YEAR(Juin_Dim1+2)=Année_Calendaire,MONTH(Juin_Dim1+2)=6),Juin_Dim1+2,""))</f>
        <v/>
      </c>
      <c r="E96" s="67">
        <f>IF(DAY(Juin_Dim1)=1,"",IF(AND(YEAR(Juin_Dim1+3)=Année_Calendaire,MONTH(Juin_Dim1+3)=6),Juin_Dim1+3,""))</f>
        <v>42522</v>
      </c>
      <c r="F96" s="67">
        <f>IF(DAY(Juin_Dim1)=1,"",IF(AND(YEAR(Juin_Dim1+4)=Année_Calendaire,MONTH(Juin_Dim1+4)=6),Juin_Dim1+4,""))</f>
        <v>42523</v>
      </c>
      <c r="G96" s="67">
        <f>IF(DAY(Juin_Dim1)=1,"",IF(AND(YEAR(Juin_Dim1+5)=Année_Calendaire,MONTH(Juin_Dim1+5)=6),Juin_Dim1+5,""))</f>
        <v>42524</v>
      </c>
      <c r="H96" s="67">
        <f>IF(DAY(Juin_Dim1)=1,"",IF(AND(YEAR(Juin_Dim1+6)=Année_Calendaire,MONTH(Juin_Dim1+6)=6),Juin_Dim1+6,""))</f>
        <v>42525</v>
      </c>
      <c r="I96" s="67">
        <f>IF(DAY(Juin_Dim1)=1,IF(AND(YEAR(Juin_Dim1)=Année_Calendaire,MONTH(Juin_Dim1)=6),Juin_Dim1,""),IF(AND(YEAR(Juin_Dim1+7)=Année_Calendaire,MONTH(Juin_Dim1+7)=6),Juin_Dim1+7,""))</f>
        <v>42526</v>
      </c>
      <c r="J96" s="96"/>
      <c r="K96" s="87"/>
      <c r="L96" s="67">
        <f>IF(DAY(Juin_Dim1)=1,IF(AND(YEAR(Juin_Dim1+1)=Année_Calendaire,MONTH(Juin_Dim1+1)=6),Juin_Dim1+1,""),IF(AND(YEAR(Juin_Dim1+8)=Année_Calendaire,MONTH(Juin_Dim1+8)=6),Juin_Dim1+8,""))</f>
        <v>42527</v>
      </c>
      <c r="M96" s="67">
        <f>IF(DAY(Juin_Dim1)=1,IF(AND(YEAR(Juin_Dim1+2)=Année_Calendaire,MONTH(Juin_Dim1+2)=6),Juin_Dim1+2,""),IF(AND(YEAR(Juin_Dim1+9)=Année_Calendaire,MONTH(Juin_Dim1+9)=6),Juin_Dim1+9,""))</f>
        <v>42528</v>
      </c>
      <c r="N96" s="67">
        <f>IF(DAY(Juin_Dim1)=1,IF(AND(YEAR(Juin_Dim1+3)=Année_Calendaire,MONTH(Juin_Dim1+3)=6),Juin_Dim1+3,""),IF(AND(YEAR(Juin_Dim1+10)=Année_Calendaire,MONTH(Juin_Dim1+10)=6),Juin_Dim1+10,""))</f>
        <v>42529</v>
      </c>
      <c r="O96" s="67">
        <f>IF(DAY(Juin_Dim1)=1,IF(AND(YEAR(Juin_Dim1+4)=Année_Calendaire,MONTH(Juin_Dim1+4)=6),Juin_Dim1+4,""),IF(AND(YEAR(Juin_Dim1+11)=Année_Calendaire,MONTH(Juin_Dim1+11)=6),Juin_Dim1+11,""))</f>
        <v>42530</v>
      </c>
      <c r="P96" s="67">
        <f>IF(DAY(Juin_Dim1)=1,IF(AND(YEAR(Juin_Dim1+5)=Année_Calendaire,MONTH(Juin_Dim1+5)=6),Juin_Dim1+5,""),IF(AND(YEAR(Juin_Dim1+12)=Année_Calendaire,MONTH(Juin_Dim1+12)=6),Juin_Dim1+12,""))</f>
        <v>42531</v>
      </c>
      <c r="Q96" s="67">
        <f>IF(DAY(Juin_Dim1)=1,IF(AND(YEAR(Juin_Dim1+6)=Année_Calendaire,MONTH(Juin_Dim1+6)=6),Juin_Dim1+6,""),IF(AND(YEAR(Juin_Dim1+13)=Année_Calendaire,MONTH(Juin_Dim1+13)=6),Juin_Dim1+13,""))</f>
        <v>42532</v>
      </c>
      <c r="R96" s="67">
        <f>IF(DAY(Juin_Dim1)=1,IF(AND(YEAR(Juin_Dim1+7)=Année_Calendaire,MONTH(Juin_Dim1+7)=6),Juin_Dim1+7,""),IF(AND(YEAR(Juin_Dim1+14)=Année_Calendaire,MONTH(Juin_Dim1+14)=6),Juin_Dim1+14,""))</f>
        <v>42533</v>
      </c>
      <c r="S96" s="96"/>
      <c r="T96" s="87"/>
      <c r="U96" s="67">
        <f>IF(DAY(Juin_Dim1)=1,IF(AND(YEAR(Juin_Dim1+8)=Année_Calendaire,MONTH(Juin_Dim1+8)=6),Juin_Dim1+8,""),IF(AND(YEAR(Juin_Dim1+15)=Année_Calendaire,MONTH(Juin_Dim1+15)=6),Juin_Dim1+15,""))</f>
        <v>42534</v>
      </c>
      <c r="V96" s="67">
        <f>IF(DAY(Juin_Dim1)=1,IF(AND(YEAR(Juin_Dim1+9)=Année_Calendaire,MONTH(Juin_Dim1+9)=6),Juin_Dim1+9,""),IF(AND(YEAR(Juin_Dim1+16)=Année_Calendaire,MONTH(Juin_Dim1+16)=6),Juin_Dim1+16,""))</f>
        <v>42535</v>
      </c>
      <c r="W96" s="67">
        <f>IF(DAY(Juin_Dim1)=1,IF(AND(YEAR(Juin_Dim1+10)=Année_Calendaire,MONTH(Juin_Dim1+10)=6),Juin_Dim1+10,""),IF(AND(YEAR(Juin_Dim1+17)=Année_Calendaire,MONTH(Juin_Dim1+17)=6),Juin_Dim1+17,""))</f>
        <v>42536</v>
      </c>
      <c r="X96" s="67">
        <f>IF(DAY(Juin_Dim1)=1,IF(AND(YEAR(Juin_Dim1+11)=Année_Calendaire,MONTH(Juin_Dim1+11)=6),Juin_Dim1+11,""),IF(AND(YEAR(Juin_Dim1+18)=Année_Calendaire,MONTH(Juin_Dim1+18)=6),Juin_Dim1+18,""))</f>
        <v>42537</v>
      </c>
      <c r="Y96" s="67">
        <f>IF(DAY(Juin_Dim1)=1,IF(AND(YEAR(Juin_Dim1+12)=Année_Calendaire,MONTH(Juin_Dim1+12)=6),Juin_Dim1+12,""),IF(AND(YEAR(Juin_Dim1+19)=Année_Calendaire,MONTH(Juin_Dim1+19)=6),Juin_Dim1+19,""))</f>
        <v>42538</v>
      </c>
      <c r="Z96" s="67">
        <f>IF(DAY(Juin_Dim1)=1,IF(AND(YEAR(Juin_Dim1+13)=Année_Calendaire,MONTH(Juin_Dim1+13)=6),Juin_Dim1+13,""),IF(AND(YEAR(Juin_Dim1+20)=Année_Calendaire,MONTH(Juin_Dim1+20)=6),Juin_Dim1+20,""))</f>
        <v>42539</v>
      </c>
      <c r="AA96" s="67">
        <f>IF(DAY(Juin_Dim1)=1,IF(AND(YEAR(Juin_Dim1+14)=Année_Calendaire,MONTH(Juin_Dim1+14)=6),Juin_Dim1+14,""),IF(AND(YEAR(Juin_Dim1+21)=Année_Calendaire,MONTH(Juin_Dim1+21)=6),Juin_Dim1+21,""))</f>
        <v>42540</v>
      </c>
      <c r="AB96" s="96"/>
      <c r="AC96" s="87"/>
      <c r="AD96" s="67">
        <f>IF(DAY(Juin_Dim1)=1,IF(AND(YEAR(Juin_Dim1+15)=Année_Calendaire,MONTH(Juin_Dim1+15)=6),Juin_Dim1+15,""),IF(AND(YEAR(Juin_Dim1+22)=Année_Calendaire,MONTH(Juin_Dim1+22)=6),Juin_Dim1+22,""))</f>
        <v>42541</v>
      </c>
      <c r="AE96" s="67">
        <f>IF(DAY(Juin_Dim1)=1,IF(AND(YEAR(Juin_Dim1+16)=Année_Calendaire,MONTH(Juin_Dim1+16)=6),Juin_Dim1+16,""),IF(AND(YEAR(Juin_Dim1+23)=Année_Calendaire,MONTH(Juin_Dim1+23)=6),Juin_Dim1+23,""))</f>
        <v>42542</v>
      </c>
      <c r="AF96" s="67">
        <f>IF(DAY(Juin_Dim1)=1,IF(AND(YEAR(Juin_Dim1+17)=Année_Calendaire,MONTH(Juin_Dim1+17)=6),Juin_Dim1+17,""),IF(AND(YEAR(Juin_Dim1+24)=Année_Calendaire,MONTH(Juin_Dim1+24)=6),Juin_Dim1+24,""))</f>
        <v>42543</v>
      </c>
      <c r="AG96" s="67">
        <f>IF(DAY(Juin_Dim1)=1,IF(AND(YEAR(Juin_Dim1+18)=Année_Calendaire,MONTH(Juin_Dim1+18)=6),Juin_Dim1+18,""),IF(AND(YEAR(Juin_Dim1+25)=Année_Calendaire,MONTH(Juin_Dim1+25)=6),Juin_Dim1+25,""))</f>
        <v>42544</v>
      </c>
      <c r="AH96" s="67">
        <f>IF(DAY(Juin_Dim1)=1,IF(AND(YEAR(Juin_Dim1+19)=Année_Calendaire,MONTH(Juin_Dim1+19)=6),Juin_Dim1+19,""),IF(AND(YEAR(Juin_Dim1+26)=Année_Calendaire,MONTH(Juin_Dim1+26)=6),Juin_Dim1+26,""))</f>
        <v>42545</v>
      </c>
      <c r="AI96" s="67">
        <f>IF(DAY(Juin_Dim1)=1,IF(AND(YEAR(Juin_Dim1+20)=Année_Calendaire,MONTH(Juin_Dim1+20)=6),Juin_Dim1+20,""),IF(AND(YEAR(Juin_Dim1+27)=Année_Calendaire,MONTH(Juin_Dim1+27)=6),Juin_Dim1+27,""))</f>
        <v>42546</v>
      </c>
      <c r="AJ96" s="67">
        <f>IF(DAY(Juin_Dim1)=1,IF(AND(YEAR(Juin_Dim1+21)=Année_Calendaire,MONTH(Juin_Dim1+21)=6),Juin_Dim1+21,""),IF(AND(YEAR(Juin_Dim1+28)=Année_Calendaire,MONTH(Juin_Dim1+28)=6),Juin_Dim1+28,""))</f>
        <v>42547</v>
      </c>
      <c r="AK96" s="96"/>
      <c r="AL96" s="87"/>
      <c r="AM96" s="67">
        <f>IF(DAY(Juin_Dim1)=1,IF(AND(YEAR(Juin_Dim1+22)=Année_Calendaire,MONTH(Juin_Dim1+22)=6),Juin_Dim1+22,""),IF(AND(YEAR(Juin_Dim1+29)=Année_Calendaire,MONTH(Juin_Dim1+29)=6),Juin_Dim1+29,""))</f>
        <v>42548</v>
      </c>
      <c r="AN96" s="67">
        <f>IF(DAY(Juin_Dim1)=1,IF(AND(YEAR(Juin_Dim1+23)=Année_Calendaire,MONTH(Juin_Dim1+23)=6),Juin_Dim1+23,""),IF(AND(YEAR(Juin_Dim1+30)=Année_Calendaire,MONTH(Juin_Dim1+30)=6),Juin_Dim1+30,""))</f>
        <v>42549</v>
      </c>
      <c r="AO96" s="67">
        <f>IF(DAY(Juin_Dim1)=1,IF(AND(YEAR(Juin_Dim1+24)=Année_Calendaire,MONTH(Juin_Dim1+24)=6),Juin_Dim1+24,""),IF(AND(YEAR(Juin_Dim1+31)=Année_Calendaire,MONTH(Juin_Dim1+31)=6),Juin_Dim1+31,""))</f>
        <v>42550</v>
      </c>
      <c r="AP96" s="67">
        <f>IF(DAY(Juin_Dim1)=1,IF(AND(YEAR(Juin_Dim1+25)=Année_Calendaire,MONTH(Juin_Dim1+25)=6),Juin_Dim1+25,""),IF(AND(YEAR(Juin_Dim1+32)=Année_Calendaire,MONTH(Juin_Dim1+32)=6),Juin_Dim1+32,""))</f>
        <v>42551</v>
      </c>
      <c r="AQ96" s="67" t="str">
        <f>IF(DAY(Juin_Dim1)=1,IF(AND(YEAR(Juin_Dim1+26)=Année_Calendaire,MONTH(Juin_Dim1+26)=6),Juin_Dim1+26,""),IF(AND(YEAR(Juin_Dim1+33)=Année_Calendaire,MONTH(Juin_Dim1+33)=6),Juin_Dim1+33,""))</f>
        <v/>
      </c>
      <c r="AR96" s="67" t="str">
        <f>IF(DAY(Juin_Dim1)=1,IF(AND(YEAR(Juin_Dim1+27)=Année_Calendaire,MONTH(Juin_Dim1+27)=6),Juin_Dim1+27,""),IF(AND(YEAR(Juin_Dim1+34)=Année_Calendaire,MONTH(Juin_Dim1+34)=6),Juin_Dim1+34,""))</f>
        <v/>
      </c>
      <c r="AS96" s="67" t="str">
        <f>IF(DAY(Juin_Dim1)=1,IF(AND(YEAR(Juin_Dim1+28)=Année_Calendaire,MONTH(Juin_Dim1+28)=6),Juin_Dim1+28,""),IF(AND(YEAR(Juin_Dim1+35)=Année_Calendaire,MONTH(Juin_Dim1+35)=6),Juin_Dim1+35,""))</f>
        <v/>
      </c>
      <c r="AT96" s="96"/>
      <c r="AU96" s="87"/>
      <c r="AV96" s="61" t="str">
        <f>IF(DAY(Juin_Dim1)=1,IF(AND(YEAR(Juin_Dim1+29)=Année_Calendaire,MONTH(Juin_Dim1+29)=6),Juin_Dim1+29,""),IF(AND(YEAR(Juin_Dim1+36)=Année_Calendaire,MONTH(Juin_Dim1+36)=6),Juin_Dim1+36,""))</f>
        <v/>
      </c>
      <c r="AW96" s="61" t="str">
        <f>IF(DAY(Juin_Dim1)=1,IF(AND(YEAR(Juin_Dim1+30)=Année_Calendaire,MONTH(Juin_Dim1+30)=6),Juin_Dim1+30,""),IF(AND(YEAR(Juin_Dim1+37)=Année_Calendaire,MONTH(Juin_Dim1+37)=6),Juin_Dim1+37,""))</f>
        <v/>
      </c>
      <c r="AX96" s="96"/>
      <c r="AY96" s="96"/>
      <c r="AZ96" s="97"/>
      <c r="BA96" s="97"/>
      <c r="BB96" s="54"/>
      <c r="BC96" s="54"/>
      <c r="BD96" s="98"/>
      <c r="BE96" s="98"/>
      <c r="BF96" s="1"/>
    </row>
    <row r="97" spans="1:58" s="6" customFormat="1" ht="15" customHeight="1" x14ac:dyDescent="0.25">
      <c r="A97" s="21" t="s">
        <v>2</v>
      </c>
      <c r="B97" s="81"/>
      <c r="C97" s="31"/>
      <c r="D97" s="31"/>
      <c r="E97" s="31"/>
      <c r="F97" s="31"/>
      <c r="G97" s="31"/>
      <c r="H97" s="31"/>
      <c r="I97" s="31"/>
      <c r="J97" s="60"/>
      <c r="K97" s="60"/>
      <c r="L97" s="31"/>
      <c r="M97" s="31"/>
      <c r="N97" s="31"/>
      <c r="O97" s="31"/>
      <c r="P97" s="31"/>
      <c r="Q97" s="31"/>
      <c r="R97" s="31"/>
      <c r="S97" s="60"/>
      <c r="T97" s="60"/>
      <c r="U97" s="31"/>
      <c r="V97" s="31"/>
      <c r="W97" s="31"/>
      <c r="X97" s="31"/>
      <c r="Y97" s="31"/>
      <c r="Z97" s="31"/>
      <c r="AA97" s="31"/>
      <c r="AB97" s="60"/>
      <c r="AC97" s="60"/>
      <c r="AD97" s="31"/>
      <c r="AE97" s="31"/>
      <c r="AF97" s="31"/>
      <c r="AG97" s="31"/>
      <c r="AH97" s="31"/>
      <c r="AI97" s="31"/>
      <c r="AJ97" s="31"/>
      <c r="AK97" s="60"/>
      <c r="AL97" s="60"/>
      <c r="AM97" s="31"/>
      <c r="AN97" s="31"/>
      <c r="AO97" s="31"/>
      <c r="AP97" s="31"/>
      <c r="AQ97" s="31"/>
      <c r="AR97" s="31"/>
      <c r="AS97" s="31"/>
      <c r="AT97" s="60"/>
      <c r="AU97" s="60"/>
      <c r="AV97" s="31"/>
      <c r="AW97" s="31"/>
      <c r="AX97" s="60"/>
      <c r="AY97" s="63"/>
      <c r="AZ97" s="59"/>
      <c r="BA97" s="54"/>
      <c r="BB97" s="54"/>
      <c r="BC97" s="54"/>
      <c r="BD97" s="98"/>
      <c r="BE97" s="98"/>
      <c r="BF97" s="5"/>
    </row>
    <row r="98" spans="1:58" s="6" customFormat="1" ht="15" customHeight="1" x14ac:dyDescent="0.25">
      <c r="A98" s="21" t="s">
        <v>12</v>
      </c>
      <c r="B98" s="81"/>
      <c r="C98" s="60">
        <f t="shared" ref="C98:I98" si="151">IF(C97="Matin",1,IF(C97="AM",1,0))</f>
        <v>0</v>
      </c>
      <c r="D98" s="60">
        <f t="shared" si="151"/>
        <v>0</v>
      </c>
      <c r="E98" s="60">
        <f t="shared" si="151"/>
        <v>0</v>
      </c>
      <c r="F98" s="60">
        <f t="shared" si="151"/>
        <v>0</v>
      </c>
      <c r="G98" s="60">
        <f t="shared" si="151"/>
        <v>0</v>
      </c>
      <c r="H98" s="60">
        <f t="shared" si="151"/>
        <v>0</v>
      </c>
      <c r="I98" s="60">
        <f t="shared" si="151"/>
        <v>0</v>
      </c>
      <c r="J98" s="60">
        <f>SUM(C98:I98)</f>
        <v>0</v>
      </c>
      <c r="K98" s="60"/>
      <c r="L98" s="60">
        <f t="shared" ref="L98:R98" si="152">IF(L97="Matin",1,IF(L97="AM",1,0))</f>
        <v>0</v>
      </c>
      <c r="M98" s="60">
        <f t="shared" si="152"/>
        <v>0</v>
      </c>
      <c r="N98" s="60">
        <f t="shared" si="152"/>
        <v>0</v>
      </c>
      <c r="O98" s="60">
        <f t="shared" si="152"/>
        <v>0</v>
      </c>
      <c r="P98" s="60">
        <f t="shared" si="152"/>
        <v>0</v>
      </c>
      <c r="Q98" s="60">
        <f t="shared" si="152"/>
        <v>0</v>
      </c>
      <c r="R98" s="60">
        <f t="shared" si="152"/>
        <v>0</v>
      </c>
      <c r="S98" s="60">
        <f>SUM(L98:R98)</f>
        <v>0</v>
      </c>
      <c r="T98" s="60"/>
      <c r="U98" s="60">
        <f t="shared" ref="U98:AA98" si="153">IF(U97="Matin",1,IF(U97="AM",1,0))</f>
        <v>0</v>
      </c>
      <c r="V98" s="60">
        <f t="shared" si="153"/>
        <v>0</v>
      </c>
      <c r="W98" s="60">
        <f t="shared" si="153"/>
        <v>0</v>
      </c>
      <c r="X98" s="60">
        <f t="shared" si="153"/>
        <v>0</v>
      </c>
      <c r="Y98" s="60">
        <f t="shared" si="153"/>
        <v>0</v>
      </c>
      <c r="Z98" s="60">
        <f t="shared" si="153"/>
        <v>0</v>
      </c>
      <c r="AA98" s="60">
        <f t="shared" si="153"/>
        <v>0</v>
      </c>
      <c r="AB98" s="60">
        <f>SUM(U98:AA98)</f>
        <v>0</v>
      </c>
      <c r="AC98" s="60"/>
      <c r="AD98" s="60">
        <f t="shared" ref="AD98:AJ98" si="154">IF(AD97="Matin",1,IF(AD97="AM",1,0))</f>
        <v>0</v>
      </c>
      <c r="AE98" s="60">
        <f t="shared" si="154"/>
        <v>0</v>
      </c>
      <c r="AF98" s="60">
        <f t="shared" si="154"/>
        <v>0</v>
      </c>
      <c r="AG98" s="60">
        <f t="shared" si="154"/>
        <v>0</v>
      </c>
      <c r="AH98" s="60">
        <f t="shared" si="154"/>
        <v>0</v>
      </c>
      <c r="AI98" s="60">
        <f t="shared" si="154"/>
        <v>0</v>
      </c>
      <c r="AJ98" s="60">
        <f t="shared" si="154"/>
        <v>0</v>
      </c>
      <c r="AK98" s="60">
        <f>SUM(AD98:AJ98)</f>
        <v>0</v>
      </c>
      <c r="AL98" s="60"/>
      <c r="AM98" s="60">
        <f t="shared" ref="AM98:AS98" si="155">IF(AM97="Matin",1,IF(AM97="AM",1,0))</f>
        <v>0</v>
      </c>
      <c r="AN98" s="60">
        <f t="shared" si="155"/>
        <v>0</v>
      </c>
      <c r="AO98" s="60">
        <f t="shared" si="155"/>
        <v>0</v>
      </c>
      <c r="AP98" s="60">
        <f t="shared" si="155"/>
        <v>0</v>
      </c>
      <c r="AQ98" s="60">
        <f t="shared" si="155"/>
        <v>0</v>
      </c>
      <c r="AR98" s="60">
        <f t="shared" si="155"/>
        <v>0</v>
      </c>
      <c r="AS98" s="60">
        <f t="shared" si="155"/>
        <v>0</v>
      </c>
      <c r="AT98" s="60">
        <f>SUM(AM98:AS98)</f>
        <v>0</v>
      </c>
      <c r="AU98" s="60"/>
      <c r="AV98" s="60">
        <f t="shared" ref="AV98:AW98" si="156">IF(AV97="Matin",1,IF(AV97="AM",1,0))</f>
        <v>0</v>
      </c>
      <c r="AW98" s="60">
        <f t="shared" si="156"/>
        <v>0</v>
      </c>
      <c r="AX98" s="60">
        <f t="shared" ref="AX98:AX105" si="157">SUM(AV98:AW98)</f>
        <v>0</v>
      </c>
      <c r="AY98" s="60">
        <f>J98+S98+AB98+AK98+AT98+AX98</f>
        <v>0</v>
      </c>
      <c r="AZ98" s="59"/>
      <c r="BA98" s="99"/>
      <c r="BB98" s="99"/>
      <c r="BC98" s="55"/>
      <c r="BD98" s="17"/>
      <c r="BE98" s="17"/>
      <c r="BF98" s="5"/>
    </row>
    <row r="99" spans="1:58" ht="15" customHeight="1" x14ac:dyDescent="0.25">
      <c r="A99" s="21" t="s">
        <v>4</v>
      </c>
      <c r="B99" s="81"/>
      <c r="C99" s="60">
        <f>IF(C100&gt;=1,1,0)</f>
        <v>0</v>
      </c>
      <c r="D99" s="60">
        <f>IF(D100&gt;=1,1,0)</f>
        <v>0</v>
      </c>
      <c r="E99" s="60">
        <f t="shared" ref="E99:I99" si="158">IF(E100&gt;=1,1,0)</f>
        <v>0</v>
      </c>
      <c r="F99" s="60">
        <f t="shared" si="158"/>
        <v>0</v>
      </c>
      <c r="G99" s="60">
        <f t="shared" si="158"/>
        <v>0</v>
      </c>
      <c r="H99" s="60">
        <f t="shared" si="158"/>
        <v>0</v>
      </c>
      <c r="I99" s="60">
        <f t="shared" si="158"/>
        <v>0</v>
      </c>
      <c r="J99" s="60">
        <f t="shared" ref="J99:J109" si="159">SUM(C99:I99)</f>
        <v>0</v>
      </c>
      <c r="K99" s="60"/>
      <c r="L99" s="60">
        <f>IF(L100&gt;=1,1,0)</f>
        <v>0</v>
      </c>
      <c r="M99" s="60">
        <f t="shared" ref="M99:R99" si="160">IF(M100&gt;=1,1,0)</f>
        <v>0</v>
      </c>
      <c r="N99" s="60">
        <f t="shared" si="160"/>
        <v>0</v>
      </c>
      <c r="O99" s="60">
        <f t="shared" si="160"/>
        <v>0</v>
      </c>
      <c r="P99" s="60">
        <f t="shared" si="160"/>
        <v>0</v>
      </c>
      <c r="Q99" s="60">
        <f t="shared" si="160"/>
        <v>0</v>
      </c>
      <c r="R99" s="60">
        <f t="shared" si="160"/>
        <v>0</v>
      </c>
      <c r="S99" s="60">
        <f t="shared" ref="S99:S109" si="161">SUM(L99:R99)</f>
        <v>0</v>
      </c>
      <c r="T99" s="60"/>
      <c r="U99" s="60">
        <f>IF(U100&gt;=1,1,0)</f>
        <v>0</v>
      </c>
      <c r="V99" s="60">
        <f t="shared" ref="V99:AA99" si="162">IF(V100&gt;=1,1,0)</f>
        <v>0</v>
      </c>
      <c r="W99" s="60">
        <f t="shared" si="162"/>
        <v>0</v>
      </c>
      <c r="X99" s="60">
        <f t="shared" si="162"/>
        <v>0</v>
      </c>
      <c r="Y99" s="60">
        <f t="shared" si="162"/>
        <v>0</v>
      </c>
      <c r="Z99" s="60">
        <f t="shared" si="162"/>
        <v>0</v>
      </c>
      <c r="AA99" s="60">
        <f t="shared" si="162"/>
        <v>0</v>
      </c>
      <c r="AB99" s="60">
        <f t="shared" ref="AB99:AB109" si="163">SUM(U99:AA99)</f>
        <v>0</v>
      </c>
      <c r="AC99" s="60"/>
      <c r="AD99" s="60">
        <f>IF(AD100&gt;=1,1,0)</f>
        <v>0</v>
      </c>
      <c r="AE99" s="60">
        <f t="shared" ref="AE99:AJ99" si="164">IF(AE100&gt;=1,1,0)</f>
        <v>0</v>
      </c>
      <c r="AF99" s="60">
        <f t="shared" si="164"/>
        <v>0</v>
      </c>
      <c r="AG99" s="60">
        <f t="shared" si="164"/>
        <v>0</v>
      </c>
      <c r="AH99" s="60">
        <f t="shared" si="164"/>
        <v>0</v>
      </c>
      <c r="AI99" s="60">
        <f t="shared" si="164"/>
        <v>0</v>
      </c>
      <c r="AJ99" s="60">
        <f t="shared" si="164"/>
        <v>0</v>
      </c>
      <c r="AK99" s="60">
        <f t="shared" ref="AK99:AK109" si="165">SUM(AD99:AJ99)</f>
        <v>0</v>
      </c>
      <c r="AL99" s="60"/>
      <c r="AM99" s="60">
        <f>IF(AM100&gt;=1,1,0)</f>
        <v>0</v>
      </c>
      <c r="AN99" s="60">
        <f t="shared" ref="AN99:AS99" si="166">IF(AN100&gt;=1,1,0)</f>
        <v>0</v>
      </c>
      <c r="AO99" s="60">
        <f t="shared" si="166"/>
        <v>0</v>
      </c>
      <c r="AP99" s="60">
        <f t="shared" si="166"/>
        <v>0</v>
      </c>
      <c r="AQ99" s="60">
        <f t="shared" si="166"/>
        <v>0</v>
      </c>
      <c r="AR99" s="60">
        <f t="shared" si="166"/>
        <v>0</v>
      </c>
      <c r="AS99" s="60">
        <f t="shared" si="166"/>
        <v>0</v>
      </c>
      <c r="AT99" s="60">
        <f t="shared" ref="AT99:AT109" si="167">SUM(AM99:AS99)</f>
        <v>0</v>
      </c>
      <c r="AU99" s="60"/>
      <c r="AV99" s="60">
        <f>IF(AV100&gt;=1,1,0)</f>
        <v>0</v>
      </c>
      <c r="AW99" s="60">
        <f t="shared" ref="AW99" si="168">IF(AW100&gt;=1,1,0)</f>
        <v>0</v>
      </c>
      <c r="AX99" s="60">
        <f t="shared" si="157"/>
        <v>0</v>
      </c>
      <c r="AY99" s="60">
        <f t="shared" ref="AY99:AY108" si="169">J99+S99+AB99+AK99+AT99+AX99</f>
        <v>0</v>
      </c>
      <c r="AZ99" s="59"/>
      <c r="BA99" s="44"/>
      <c r="BB99" s="44"/>
      <c r="BC99" s="44"/>
      <c r="BD99" s="9"/>
      <c r="BE99" s="43"/>
      <c r="BF99" s="44"/>
    </row>
    <row r="100" spans="1:58" ht="15" customHeight="1" x14ac:dyDescent="0.25">
      <c r="A100" s="21" t="s">
        <v>3</v>
      </c>
      <c r="B100" s="81"/>
      <c r="C100" s="31"/>
      <c r="D100" s="31"/>
      <c r="E100" s="31"/>
      <c r="F100" s="31"/>
      <c r="G100" s="31"/>
      <c r="H100" s="31"/>
      <c r="I100" s="31"/>
      <c r="J100" s="60">
        <f t="shared" si="159"/>
        <v>0</v>
      </c>
      <c r="K100" s="60"/>
      <c r="L100" s="31"/>
      <c r="M100" s="31"/>
      <c r="N100" s="31"/>
      <c r="O100" s="31"/>
      <c r="P100" s="31"/>
      <c r="Q100" s="31"/>
      <c r="R100" s="31"/>
      <c r="S100" s="60">
        <f t="shared" si="161"/>
        <v>0</v>
      </c>
      <c r="T100" s="60"/>
      <c r="U100" s="31"/>
      <c r="V100" s="31"/>
      <c r="W100" s="31"/>
      <c r="X100" s="31"/>
      <c r="Y100" s="31"/>
      <c r="Z100" s="31"/>
      <c r="AA100" s="31"/>
      <c r="AB100" s="60">
        <f t="shared" si="163"/>
        <v>0</v>
      </c>
      <c r="AC100" s="60"/>
      <c r="AD100" s="31"/>
      <c r="AE100" s="31"/>
      <c r="AF100" s="31"/>
      <c r="AG100" s="31"/>
      <c r="AH100" s="31"/>
      <c r="AI100" s="31"/>
      <c r="AJ100" s="31"/>
      <c r="AK100" s="60">
        <f t="shared" si="165"/>
        <v>0</v>
      </c>
      <c r="AL100" s="60"/>
      <c r="AM100" s="31"/>
      <c r="AN100" s="31"/>
      <c r="AO100" s="31"/>
      <c r="AP100" s="31"/>
      <c r="AQ100" s="31"/>
      <c r="AR100" s="31"/>
      <c r="AS100" s="31"/>
      <c r="AT100" s="60">
        <f t="shared" si="167"/>
        <v>0</v>
      </c>
      <c r="AU100" s="60"/>
      <c r="AV100" s="31"/>
      <c r="AW100" s="31"/>
      <c r="AX100" s="60">
        <f t="shared" si="157"/>
        <v>0</v>
      </c>
      <c r="AY100" s="60">
        <f t="shared" si="169"/>
        <v>0</v>
      </c>
      <c r="AZ100" s="59"/>
      <c r="BA100" s="44"/>
      <c r="BB100" s="44"/>
      <c r="BC100" s="44"/>
      <c r="BD100" s="9"/>
      <c r="BE100" s="43"/>
      <c r="BF100" s="44"/>
    </row>
    <row r="101" spans="1:58" ht="15" customHeight="1" x14ac:dyDescent="0.25">
      <c r="A101" s="36" t="s">
        <v>20</v>
      </c>
      <c r="B101" s="82"/>
      <c r="C101" s="66">
        <f>IF(C95&lt;&gt;"Dim",IF(C100&gt;32,MIN(C100,35)-32,0),0)</f>
        <v>0</v>
      </c>
      <c r="D101" s="66">
        <f>IF(D95&lt;&gt;"Dim",IF(SUM($C100:D100)&gt;32,MIN(SUM($C100:D100),35)-32-SUM($C101:C101),0),0)</f>
        <v>0</v>
      </c>
      <c r="E101" s="66">
        <f>IF(E95&lt;&gt;"Dim",IF(SUM($C100:E100)&gt;32,MIN(SUM($C100:E100),35)-32-SUM($C101:D101),0),0)</f>
        <v>0</v>
      </c>
      <c r="F101" s="66">
        <f>IF(F95&lt;&gt;"Dim",IF(SUM($C100:F100)&gt;32,MIN(SUM($C100:F100),35)-32-SUM($C101:E101),0),0)</f>
        <v>0</v>
      </c>
      <c r="G101" s="66">
        <f>IF(G95&lt;&gt;"Dim",IF(SUM($C100:G100)&gt;32,MIN(SUM($C100:G100),35)-32-SUM($C101:F101),0),0)</f>
        <v>0</v>
      </c>
      <c r="H101" s="66">
        <f>IF(H95&lt;&gt;"Dim",IF(SUM($C100:H100)&gt;32,MIN(SUM($C100:H100),35)-32-SUM($C101:G101),0),0)</f>
        <v>0</v>
      </c>
      <c r="I101" s="66">
        <f>IF(I95&lt;&gt;"Dim",IF(SUM($C100:I100)&gt;32,MIN(SUM($C100:I100),35)-32-SUM($C101:H101),0),0)</f>
        <v>0</v>
      </c>
      <c r="J101" s="60">
        <f t="shared" si="159"/>
        <v>0</v>
      </c>
      <c r="K101" s="60"/>
      <c r="L101" s="66">
        <f>IF(L95&lt;&gt;"Dim",IF(L100&gt;32,MIN(L100,35)-32,0),0)</f>
        <v>0</v>
      </c>
      <c r="M101" s="66">
        <f>IF(M95&lt;&gt;"Dim",IF(SUM($L100:M100)&gt;32,MIN(SUM($L100:M100),35)-32-SUM($L101:L101),0),0)</f>
        <v>0</v>
      </c>
      <c r="N101" s="66">
        <f>IF(N95&lt;&gt;"Dim",IF(SUM($L100:N100)&gt;32,MIN(SUM($L100:N100),35)-32-SUM($L101:M101),0),0)</f>
        <v>0</v>
      </c>
      <c r="O101" s="66">
        <f>IF(O95&lt;&gt;"Dim",IF(SUM($L100:O100)&gt;32,MIN(SUM($L100:O100),35)-32-SUM($L101:N101),0),0)</f>
        <v>0</v>
      </c>
      <c r="P101" s="66">
        <f>IF(P95&lt;&gt;"Dim",IF(SUM($L100:P100)&gt;32,MIN(SUM($L100:P100),35)-32-SUM($L101:O101),0),0)</f>
        <v>0</v>
      </c>
      <c r="Q101" s="66">
        <f>IF(Q95&lt;&gt;"Dim",IF(SUM($L100:Q100)&gt;32,MIN(SUM($L100:Q100),35)-32-SUM($L101:P101),0),0)</f>
        <v>0</v>
      </c>
      <c r="R101" s="66">
        <f>IF(R95&lt;&gt;"Dim",IF(SUM($L100:R100)&gt;32,MIN(SUM($L100:R100),35)-32-SUM($L101:Q101),0),0)</f>
        <v>0</v>
      </c>
      <c r="S101" s="60">
        <f t="shared" si="161"/>
        <v>0</v>
      </c>
      <c r="T101" s="60"/>
      <c r="U101" s="66">
        <f>IF(U95&lt;&gt;"Dim",IF(U100&gt;32,MIN(U100,35)-32,0),0)</f>
        <v>0</v>
      </c>
      <c r="V101" s="66">
        <f>IF(V95&lt;&gt;"Dim",IF(SUM($U100:V100)&gt;32,MIN(SUM($U100:V100),35)-32-SUM($U101:U101),0),0)</f>
        <v>0</v>
      </c>
      <c r="W101" s="66">
        <f>IF(W95&lt;&gt;"Dim",IF(SUM($U100:W100)&gt;32,MIN(SUM($U100:W100),35)-32-SUM($U101:V101),0),0)</f>
        <v>0</v>
      </c>
      <c r="X101" s="66">
        <f>IF(X95&lt;&gt;"Dim",IF(SUM($U100:X100)&gt;32,MIN(SUM($U100:X100),35)-32-SUM($U101:W101),0),0)</f>
        <v>0</v>
      </c>
      <c r="Y101" s="66">
        <f>IF(Y95&lt;&gt;"Dim",IF(SUM($U100:Y100)&gt;32,MIN(SUM($U100:Y100),35)-32-SUM($U101:X101),0),0)</f>
        <v>0</v>
      </c>
      <c r="Z101" s="66">
        <f>IF(Z95&lt;&gt;"Dim",IF(SUM($U100:Z100)&gt;32,MIN(SUM($U100:Z100),35)-32-SUM($U101:Y101),0),0)</f>
        <v>0</v>
      </c>
      <c r="AA101" s="66">
        <f>IF(AA95&lt;&gt;"Dim",IF(SUM($U100:AA100)&gt;32,MIN(SUM($U100:AA100),35)-32-SUM($U101:Z101),0),0)</f>
        <v>0</v>
      </c>
      <c r="AB101" s="60">
        <f t="shared" si="163"/>
        <v>0</v>
      </c>
      <c r="AC101" s="60"/>
      <c r="AD101" s="66">
        <f>IF(AD95&lt;&gt;"Dim",IF(AD100&gt;32,MIN(AD100,35)-32,0),0)</f>
        <v>0</v>
      </c>
      <c r="AE101" s="66">
        <f>IF(AE95&lt;&gt;"Dim",IF(SUM($AD100:AE100)&gt;32,MIN(SUM($AD100:AE100),35)-32-SUM($AD101:AD101),0),0)</f>
        <v>0</v>
      </c>
      <c r="AF101" s="66">
        <f>IF(AF95&lt;&gt;"Dim",IF(SUM($AD100:AF100)&gt;32,MIN(SUM($AD100:AF100),35)-32-SUM($AD101:AE101),0),0)</f>
        <v>0</v>
      </c>
      <c r="AG101" s="66">
        <f>IF(AG95&lt;&gt;"Dim",IF(SUM($AD100:AG100)&gt;32,MIN(SUM($AD100:AG100),35)-32-SUM($AD101:AF101),0),0)</f>
        <v>0</v>
      </c>
      <c r="AH101" s="66">
        <f>IF(AH95&lt;&gt;"Dim",IF(SUM($AD100:AH100)&gt;32,MIN(SUM($AD100:AH100),35)-32-SUM($AD101:AG101),0),0)</f>
        <v>0</v>
      </c>
      <c r="AI101" s="66">
        <f>IF(AI95&lt;&gt;"Dim",IF(SUM($AD100:AI100)&gt;32,MIN(SUM($AD100:AI100),35)-32-SUM($AD101:AH101),0),0)</f>
        <v>0</v>
      </c>
      <c r="AJ101" s="66">
        <f>IF(AJ95&lt;&gt;"Dim",IF(SUM($AD100:AJ100)&gt;32,MIN(SUM($AD100:AJ100),35)-32-SUM($AD101:AI101),0),0)</f>
        <v>0</v>
      </c>
      <c r="AK101" s="60">
        <f t="shared" si="165"/>
        <v>0</v>
      </c>
      <c r="AL101" s="60"/>
      <c r="AM101" s="66">
        <f>IF(AM95&lt;&gt;"Dim",IF(AM100&gt;32,MIN(AM100,35)-32,0),0)</f>
        <v>0</v>
      </c>
      <c r="AN101" s="66">
        <f>IF(AN95&lt;&gt;"Dim",IF(SUM($AM100:AN100)&gt;32,MIN(SUM($AM100:AN100),35)-32-SUM($AM101:AM101),0),0)</f>
        <v>0</v>
      </c>
      <c r="AO101" s="66">
        <f>IF(AO95&lt;&gt;"Dim",IF(SUM($AM100:AO100)&gt;32,MIN(SUM($AM100:AO100),35)-32-SUM($AM101:AN101),0),0)</f>
        <v>0</v>
      </c>
      <c r="AP101" s="66">
        <f>IF(AP95&lt;&gt;"Dim",IF(SUM($AM100:AP100)&gt;32,MIN(SUM($AM100:AP100),35)-32-SUM($AM101:AO101),0),0)</f>
        <v>0</v>
      </c>
      <c r="AQ101" s="66">
        <f>IF(AQ95&lt;&gt;"Dim",IF(SUM($AM100:AQ100)&gt;32,MIN(SUM($AM100:AQ100),35)-32-SUM($AM101:AP101),0),0)</f>
        <v>0</v>
      </c>
      <c r="AR101" s="66">
        <f>IF(AR95&lt;&gt;"Dim",IF(SUM($AM100:AR100)&gt;32,MIN(SUM($AM100:AR100),35)-32-SUM($AM101:AQ101),0),0)</f>
        <v>0</v>
      </c>
      <c r="AS101" s="66">
        <f>IF(AS95&lt;&gt;"Dim",IF(SUM($AM100:AS100)&gt;32,MIN(SUM($AM100:AS100),35)-32-SUM($AM101:AR101),0),0)</f>
        <v>0</v>
      </c>
      <c r="AT101" s="60">
        <f t="shared" si="167"/>
        <v>0</v>
      </c>
      <c r="AU101" s="60"/>
      <c r="AV101" s="66">
        <f>IF(AV95&lt;&gt;"Dim",IF(AV100&gt;32,MIN(AV100,35)-32,0),0)</f>
        <v>0</v>
      </c>
      <c r="AW101" s="66">
        <f>IF(AW95&lt;&gt;"Dim",IF(SUM($AV100:AW100)&gt;32,MIN(SUM($AV100:AW100),35)-32-SUM($AV101:AV101),0),0)</f>
        <v>0</v>
      </c>
      <c r="AX101" s="60">
        <f t="shared" si="157"/>
        <v>0</v>
      </c>
      <c r="AY101" s="60">
        <f t="shared" si="169"/>
        <v>0</v>
      </c>
      <c r="AZ101" s="59"/>
      <c r="BA101" s="9"/>
      <c r="BB101" s="57"/>
      <c r="BC101" s="44"/>
      <c r="BD101" s="9"/>
      <c r="BE101" s="43"/>
      <c r="BF101" s="44"/>
    </row>
    <row r="102" spans="1:58" x14ac:dyDescent="0.25">
      <c r="A102" s="21" t="s">
        <v>6</v>
      </c>
      <c r="B102" s="81"/>
      <c r="C102" s="66">
        <f>IF(C95&lt;&gt;"Dim",IF(C100&gt;35,(MIN(C100,43)-35),0),0)</f>
        <v>0</v>
      </c>
      <c r="D102" s="66">
        <f>IF(D95&lt;&gt;"Dim",IF(SUM($C100:D100)&gt;35,(MIN(SUM($C100:D100),43)-35-SUM($C102:C102)),0),0)</f>
        <v>0</v>
      </c>
      <c r="E102" s="66">
        <f>IF(E95&lt;&gt;"Dim",IF(SUM($C100:E100)&gt;35,(MIN(SUM($C100:E100),43)-35-SUM($C102:D102)),0),0)</f>
        <v>0</v>
      </c>
      <c r="F102" s="66">
        <f>IF(F95&lt;&gt;"Dim",IF(SUM($C100:F100)&gt;35,(MIN(SUM($C100:F100),43)-35-SUM($C102:E102)),0),0)</f>
        <v>0</v>
      </c>
      <c r="G102" s="66">
        <f>IF(G95&lt;&gt;"Dim",IF(SUM($C100:G100)&gt;35,(MIN(SUM($C100:G100),43)-35-SUM($C102:F102)),0),0)</f>
        <v>0</v>
      </c>
      <c r="H102" s="66">
        <f>IF(H95&lt;&gt;"Dim",IF(SUM($C100:H100)&gt;35,(MIN(SUM($C100:H100),43)-35-SUM($C102:G102)),0),0)</f>
        <v>0</v>
      </c>
      <c r="I102" s="66">
        <f>IF(I95&lt;&gt;"Dim",IF(SUM($C100:I100)&gt;35,(MIN(SUM($C100:I100),43)-35-SUM($C102:H102)),0),0)</f>
        <v>0</v>
      </c>
      <c r="J102" s="60">
        <f t="shared" si="159"/>
        <v>0</v>
      </c>
      <c r="K102" s="60"/>
      <c r="L102" s="66">
        <f>IF(L95&lt;&gt;"Dim",IF(L100&gt;35,(MIN(L100,43)-35),0),0)</f>
        <v>0</v>
      </c>
      <c r="M102" s="66">
        <f>IF(M95&lt;&gt;"Dim",IF(SUM($L100:M100)&gt;35,(MIN(SUM($L100:M100),43)-35-SUM($L102:L102)),0),0)</f>
        <v>0</v>
      </c>
      <c r="N102" s="66">
        <f>IF(N95&lt;&gt;"Dim",IF(SUM($L100:N100)&gt;35,(MIN(SUM($L100:N100),43)-35-SUM($L102:M102)),0),0)</f>
        <v>0</v>
      </c>
      <c r="O102" s="66">
        <f>IF(O95&lt;&gt;"Dim",IF(SUM($L100:O100)&gt;35,(MIN(SUM($L100:O100),43)-35-SUM($L102:N102)),0),0)</f>
        <v>0</v>
      </c>
      <c r="P102" s="66">
        <f>IF(P95&lt;&gt;"Dim",IF(SUM($L100:P100)&gt;35,(MIN(SUM($L100:P100),43)-35-SUM($L102:O102)),0),0)</f>
        <v>0</v>
      </c>
      <c r="Q102" s="66">
        <f>IF(Q95&lt;&gt;"Dim",IF(SUM($L100:Q100)&gt;35,(MIN(SUM($L100:Q100),43)-35-SUM($L102:P102)),0),0)</f>
        <v>0</v>
      </c>
      <c r="R102" s="66">
        <f>IF(R95&lt;&gt;"Dim",IF(SUM($L100:R100)&gt;35,(MIN(SUM($L100:R100),43)-35-SUM($L102:Q102)),0),0)</f>
        <v>0</v>
      </c>
      <c r="S102" s="60">
        <f t="shared" si="161"/>
        <v>0</v>
      </c>
      <c r="T102" s="60"/>
      <c r="U102" s="66">
        <f>IF(U95&lt;&gt;"Dim",IF(U100&gt;35,(MIN(U100,43)-35),0),0)</f>
        <v>0</v>
      </c>
      <c r="V102" s="66">
        <f>IF(V95&lt;&gt;"Dim",IF(SUM($U100:V100)&gt;35,(MIN(SUM($U100:V100),43)-35-SUM($U102:U102)),0),0)</f>
        <v>0</v>
      </c>
      <c r="W102" s="66">
        <f>IF(W95&lt;&gt;"Dim",IF(SUM($U100:W100)&gt;35,(MIN(SUM($U100:W100),43)-35-SUM($U102:V102)),0),0)</f>
        <v>0</v>
      </c>
      <c r="X102" s="66">
        <f>IF(X95&lt;&gt;"Dim",IF(SUM($U100:X100)&gt;35,(MIN(SUM($U100:X100),43)-35-SUM($U102:W102)),0),0)</f>
        <v>0</v>
      </c>
      <c r="Y102" s="66">
        <f>IF(Y95&lt;&gt;"Dim",IF(SUM($U100:Y100)&gt;35,(MIN(SUM($U100:Y100),43)-35-SUM($U102:X102)),0),0)</f>
        <v>0</v>
      </c>
      <c r="Z102" s="66">
        <f>IF(Z95&lt;&gt;"Dim",IF(SUM($U100:Z100)&gt;35,(MIN(SUM($U100:Z100),43)-35-SUM($U102:Y102)),0),0)</f>
        <v>0</v>
      </c>
      <c r="AA102" s="66">
        <f>IF(AA95&lt;&gt;"Dim",IF(SUM($U100:AA100)&gt;35,(MIN(SUM($U100:AA100),43)-35-SUM($U102:Z102)),0),0)</f>
        <v>0</v>
      </c>
      <c r="AB102" s="60">
        <f t="shared" si="163"/>
        <v>0</v>
      </c>
      <c r="AC102" s="60"/>
      <c r="AD102" s="66">
        <f>IF(AD95&lt;&gt;"Dim",IF(AD100&gt;35,(MIN(AD100,43)-35),0),0)</f>
        <v>0</v>
      </c>
      <c r="AE102" s="66">
        <f>IF(AE95&lt;&gt;"Dim",IF(SUM($AD100:AE100)&gt;35,(MIN(SUM($AD100:AE100),43)-35-SUM($AD102:AD102)),0),0)</f>
        <v>0</v>
      </c>
      <c r="AF102" s="66">
        <f>IF(AF95&lt;&gt;"Dim",IF(SUM($AD100:AF100)&gt;35,(MIN(SUM($AD100:AF100),43)-35-SUM($AD102:AE102)),0),0)</f>
        <v>0</v>
      </c>
      <c r="AG102" s="66">
        <f>IF(AG95&lt;&gt;"Dim",IF(SUM($AD100:AG100)&gt;35,(MIN(SUM($AD100:AG100),43)-35-SUM($AD102:AF102)),0),0)</f>
        <v>0</v>
      </c>
      <c r="AH102" s="66">
        <f>IF(AH95&lt;&gt;"Dim",IF(SUM($AD100:AH100)&gt;35,(MIN(SUM($AD100:AH100),43)-35-SUM($AD102:AG102)),0),0)</f>
        <v>0</v>
      </c>
      <c r="AI102" s="66">
        <f>IF(AI95&lt;&gt;"Dim",IF(SUM($AD100:AI100)&gt;35,(MIN(SUM($AD100:AI100),43)-35-SUM($AD102:AH102)),0),0)</f>
        <v>0</v>
      </c>
      <c r="AJ102" s="66">
        <f>IF(AJ95&lt;&gt;"Dim",IF(SUM($AD100:AJ100)&gt;35,(MIN(SUM($AD100:AJ100),43)-35-SUM($AD102:AI102)),0),0)</f>
        <v>0</v>
      </c>
      <c r="AK102" s="60">
        <f t="shared" si="165"/>
        <v>0</v>
      </c>
      <c r="AL102" s="60"/>
      <c r="AM102" s="66">
        <f>IF(AM95&lt;&gt;"Dim",IF(AM100&gt;35,(MIN(AM100,43)-35),0),0)</f>
        <v>0</v>
      </c>
      <c r="AN102" s="66">
        <f>IF(AN95&lt;&gt;"Dim",IF(SUM($AM100:AN100)&gt;35,(MIN(SUM($AM100:AN100),43)-35-SUM($AM102:AM102)),0),0)</f>
        <v>0</v>
      </c>
      <c r="AO102" s="66">
        <f>IF(AO95&lt;&gt;"Dim",IF(SUM($AM100:AO100)&gt;35,(MIN(SUM($AM100:AO100),43)-35-SUM($AM102:AN102)),0),0)</f>
        <v>0</v>
      </c>
      <c r="AP102" s="66">
        <f>IF(AP95&lt;&gt;"Dim",IF(SUM($AM100:AP100)&gt;35,(MIN(SUM($AM100:AP100),43)-35-SUM($AM102:AO102)),0),0)</f>
        <v>0</v>
      </c>
      <c r="AQ102" s="66">
        <f>IF(AQ95&lt;&gt;"Dim",IF(SUM($AM100:AQ100)&gt;35,(MIN(SUM($AM100:AQ100),43)-35-SUM($AM102:AP102)),0),0)</f>
        <v>0</v>
      </c>
      <c r="AR102" s="66">
        <f>IF(AR95&lt;&gt;"Dim",IF(SUM($AM100:AR100)&gt;35,(MIN(SUM($AM100:AR100),43)-35-SUM($AM102:AQ102)),0),0)</f>
        <v>0</v>
      </c>
      <c r="AS102" s="66">
        <f>IF(AS95&lt;&gt;"Dim",IF(SUM($AM100:AS100)&gt;35,(MIN(SUM($AM100:AS100),43)-35-SUM($AM102:AR102)),0),0)</f>
        <v>0</v>
      </c>
      <c r="AT102" s="60">
        <f t="shared" si="167"/>
        <v>0</v>
      </c>
      <c r="AU102" s="60"/>
      <c r="AV102" s="66">
        <f>IF(AV95&lt;&gt;"Dim",IF(AV100&gt;35,(MIN(AV100,43)-35),0),0)</f>
        <v>0</v>
      </c>
      <c r="AW102" s="66">
        <f>IF(AW95&lt;&gt;"Dim",IF(SUM($AV100:AW100)&gt;35,(MIN(SUM($AV100:AW100),43)-35-SUM($AV102:AV102)),0),0)</f>
        <v>0</v>
      </c>
      <c r="AX102" s="60">
        <f t="shared" si="157"/>
        <v>0</v>
      </c>
      <c r="AY102" s="60">
        <f t="shared" si="169"/>
        <v>0</v>
      </c>
      <c r="AZ102" s="59"/>
      <c r="BA102" s="44"/>
      <c r="BB102" s="44"/>
      <c r="BC102" s="44"/>
      <c r="BD102" s="9"/>
      <c r="BE102" s="43"/>
      <c r="BF102" s="44"/>
    </row>
    <row r="103" spans="1:58" x14ac:dyDescent="0.25">
      <c r="A103" s="21" t="s">
        <v>5</v>
      </c>
      <c r="B103" s="81"/>
      <c r="C103" s="66">
        <f>IF(C95&lt;&gt;"Dim",IF(C100&gt;43,(MIN(C100,48)-43),0),0)</f>
        <v>0</v>
      </c>
      <c r="D103" s="66">
        <f>IF(D95&lt;&gt;"Dim",IF(SUM($C100:D100)&gt;43,(MIN(SUM($C100:D100),48)-43-SUM($C103:C103)),0),0)</f>
        <v>0</v>
      </c>
      <c r="E103" s="66">
        <f>IF(E95&lt;&gt;"Dim",IF(SUM($C100:E100)&gt;43,(MIN(SUM($C100:E100),48)-43-SUM($C103:D103)),0),0)</f>
        <v>0</v>
      </c>
      <c r="F103" s="66">
        <f>IF(F95&lt;&gt;"Dim",IF(SUM($C100:F100)&gt;43,(MIN(SUM($C100:F100),48)-43-SUM($C103:E103)),0),0)</f>
        <v>0</v>
      </c>
      <c r="G103" s="66">
        <f>IF(G95&lt;&gt;"Dim",IF(SUM($C100:G100)&gt;43,(MIN(SUM($C100:G100),48)-43-SUM($C103:F103)),0),0)</f>
        <v>0</v>
      </c>
      <c r="H103" s="66">
        <f>IF(H95&lt;&gt;"Dim",IF(SUM($C100:H100)&gt;43,(MIN(SUM($C100:H100),48)-43-SUM($C103:G103)),0),0)</f>
        <v>0</v>
      </c>
      <c r="I103" s="66">
        <f>IF(I95&lt;&gt;"Dim",IF(SUM($C100:I100)&gt;43,(MIN(SUM($C100:I100),48)-43-SUM($C103:H103)),0),0)</f>
        <v>0</v>
      </c>
      <c r="J103" s="60">
        <f t="shared" si="159"/>
        <v>0</v>
      </c>
      <c r="K103" s="60"/>
      <c r="L103" s="66">
        <f>IF(L95&lt;&gt;"Dim",IF(L100&gt;43,(MIN(L100,48)-43),0),0)</f>
        <v>0</v>
      </c>
      <c r="M103" s="66">
        <f>IF(M95&lt;&gt;"Dim",IF(SUM($L100:M100)&gt;43,(MIN(SUM($L100:M100),48)-43-SUM($L103:L103)),0),0)</f>
        <v>0</v>
      </c>
      <c r="N103" s="66">
        <f>IF(N95&lt;&gt;"Dim",IF(SUM($L100:N100)&gt;43,(MIN(SUM($L100:N100),48)-43-SUM($L103:M103)),0),0)</f>
        <v>0</v>
      </c>
      <c r="O103" s="66">
        <f>IF(O95&lt;&gt;"Dim",IF(SUM($L100:O100)&gt;43,(MIN(SUM($L100:O100),48)-43-SUM($L103:N103)),0),0)</f>
        <v>0</v>
      </c>
      <c r="P103" s="66">
        <f>IF(P95&lt;&gt;"Dim",IF(SUM($L100:P100)&gt;43,(MIN(SUM($L100:P100),48)-43-SUM($L103:O103)),0),0)</f>
        <v>0</v>
      </c>
      <c r="Q103" s="66">
        <f>IF(Q95&lt;&gt;"Dim",IF(SUM($L100:Q100)&gt;43,(MIN(SUM($L100:Q100),48)-43-SUM($L103:P103)),0),0)</f>
        <v>0</v>
      </c>
      <c r="R103" s="66">
        <f>IF(R95&lt;&gt;"Dim",IF(SUM($L100:R100)&gt;43,(MIN(SUM($L100:R100),48)-43-SUM($L103:Q103)),0),0)</f>
        <v>0</v>
      </c>
      <c r="S103" s="60">
        <f t="shared" si="161"/>
        <v>0</v>
      </c>
      <c r="T103" s="60"/>
      <c r="U103" s="66">
        <f>IF(U95&lt;&gt;"Dim",IF(U100&gt;43,(MIN(U100,48)-43),0),0)</f>
        <v>0</v>
      </c>
      <c r="V103" s="66">
        <f>IF(V95&lt;&gt;"Dim",IF(SUM($U100:V100)&gt;43,(MIN(SUM($U100:V100),48)-43-SUM($U103:U103)),0),0)</f>
        <v>0</v>
      </c>
      <c r="W103" s="66">
        <f>IF(W95&lt;&gt;"Dim",IF(SUM($U100:W100)&gt;43,(MIN(SUM($U100:W100),48)-43-SUM($U103:V103)),0),0)</f>
        <v>0</v>
      </c>
      <c r="X103" s="66">
        <f>IF(X95&lt;&gt;"Dim",IF(SUM($U100:X100)&gt;43,(MIN(SUM($U100:X100),48)-43-SUM($U103:W103)),0),0)</f>
        <v>0</v>
      </c>
      <c r="Y103" s="66">
        <f>IF(Y95&lt;&gt;"Dim",IF(SUM($U100:Y100)&gt;43,(MIN(SUM($U100:Y100),48)-43-SUM($U103:X103)),0),0)</f>
        <v>0</v>
      </c>
      <c r="Z103" s="66">
        <f>IF(Z95&lt;&gt;"Dim",IF(SUM($U100:Z100)&gt;43,(MIN(SUM($U100:Z100),48)-43-SUM($U103:Y103)),0),0)</f>
        <v>0</v>
      </c>
      <c r="AA103" s="66">
        <f>IF(AA95&lt;&gt;"Dim",IF(SUM($U100:AA100)&gt;43,(MIN(SUM($U100:AA100),48)-43-SUM($U103:Z103)),0),0)</f>
        <v>0</v>
      </c>
      <c r="AB103" s="60">
        <f t="shared" si="163"/>
        <v>0</v>
      </c>
      <c r="AC103" s="60"/>
      <c r="AD103" s="66">
        <f>IF(AD95&lt;&gt;"Dim",IF(AD100&gt;43,(MIN(AD100,48)-43),0),0)</f>
        <v>0</v>
      </c>
      <c r="AE103" s="66">
        <f>IF(AE95&lt;&gt;"Dim",IF(SUM($AD100:AE100)&gt;43,(MIN(SUM($AD100:AE100),48)-43-SUM($AD103:AD103)),0),0)</f>
        <v>0</v>
      </c>
      <c r="AF103" s="66">
        <f>IF(AF95&lt;&gt;"Dim",IF(SUM($AD100:AF100)&gt;43,(MIN(SUM($AD100:AF100),48)-43-SUM($AD103:AE103)),0),0)</f>
        <v>0</v>
      </c>
      <c r="AG103" s="66">
        <f>IF(AG95&lt;&gt;"Dim",IF(SUM($AD100:AG100)&gt;43,(MIN(SUM($AD100:AG100),48)-43-SUM($AD103:AF103)),0),0)</f>
        <v>0</v>
      </c>
      <c r="AH103" s="66">
        <f>IF(AH95&lt;&gt;"Dim",IF(SUM($AD100:AH100)&gt;43,(MIN(SUM($AD100:AH100),48)-43-SUM($AD103:AG103)),0),0)</f>
        <v>0</v>
      </c>
      <c r="AI103" s="66">
        <f>IF(AI95&lt;&gt;"Dim",IF(SUM($AD100:AI100)&gt;43,(MIN(SUM($AD100:AI100),48)-43-SUM($AD103:AH103)),0),0)</f>
        <v>0</v>
      </c>
      <c r="AJ103" s="66">
        <f>IF(AJ95&lt;&gt;"Dim",IF(SUM($AD100:AJ100)&gt;43,(MIN(SUM($AD100:AJ100),48)-43-SUM($AD103:AI103)),0),0)</f>
        <v>0</v>
      </c>
      <c r="AK103" s="60">
        <f t="shared" si="165"/>
        <v>0</v>
      </c>
      <c r="AL103" s="60"/>
      <c r="AM103" s="66">
        <f>IF(AM95&lt;&gt;"Dim",IF(AM100&gt;43,(MIN(AM100,48)-43),0),0)</f>
        <v>0</v>
      </c>
      <c r="AN103" s="66">
        <f>IF(AN95&lt;&gt;"Dim",IF(SUM($AM100:AN100)&gt;43,(MIN(SUM($AM100:AN100),48)-43-SUM($AM103:AM103)),0),0)</f>
        <v>0</v>
      </c>
      <c r="AO103" s="66">
        <f>IF(AO95&lt;&gt;"Dim",IF(SUM($AM100:AO100)&gt;43,(MIN(SUM($AM100:AO100),48)-43-SUM($AM103:AN103)),0),0)</f>
        <v>0</v>
      </c>
      <c r="AP103" s="66">
        <f>IF(AP95&lt;&gt;"Dim",IF(SUM($AM100:AP100)&gt;43,(MIN(SUM($AM100:AP100),48)-43-SUM($AM103:AO103)),0),0)</f>
        <v>0</v>
      </c>
      <c r="AQ103" s="66">
        <f>IF(AQ95&lt;&gt;"Dim",IF(SUM($AM100:AQ100)&gt;43,(MIN(SUM($AM100:AQ100),48)-43-SUM($AM103:AP103)),0),0)</f>
        <v>0</v>
      </c>
      <c r="AR103" s="66">
        <f>IF(AR95&lt;&gt;"Dim",IF(SUM($AM100:AR100)&gt;43,(MIN(SUM($AM100:AR100),48)-43-SUM($AM103:AQ103)),0),0)</f>
        <v>0</v>
      </c>
      <c r="AS103" s="66">
        <f>IF(AS95&lt;&gt;"Dim",IF(SUM($AM100:AS100)&gt;43,(MIN(SUM($AM100:AS100),48)-43-SUM($AM103:AR103)),0),0)</f>
        <v>0</v>
      </c>
      <c r="AT103" s="60">
        <f t="shared" si="167"/>
        <v>0</v>
      </c>
      <c r="AU103" s="60"/>
      <c r="AV103" s="66">
        <f>IF(AV95&lt;&gt;"Dim",IF(AV100&gt;43,(MIN(AV100,48)-43),0),0)</f>
        <v>0</v>
      </c>
      <c r="AW103" s="66">
        <f>IF(AW95&lt;&gt;"Dim",IF(SUM($AV100:AW100)&gt;43,(MIN(SUM($AV100:AW100),48)-43-SUM($AV103:AV103)),0),0)</f>
        <v>0</v>
      </c>
      <c r="AX103" s="60">
        <f t="shared" si="157"/>
        <v>0</v>
      </c>
      <c r="AY103" s="60">
        <f t="shared" si="169"/>
        <v>0</v>
      </c>
      <c r="AZ103" s="59"/>
      <c r="BA103" s="44"/>
      <c r="BB103" s="44"/>
      <c r="BC103" s="44"/>
      <c r="BD103" s="9"/>
      <c r="BE103" s="43"/>
      <c r="BF103" s="44"/>
    </row>
    <row r="104" spans="1:58" ht="15" customHeight="1" x14ac:dyDescent="0.25">
      <c r="A104" s="21" t="s">
        <v>7</v>
      </c>
      <c r="B104" s="81"/>
      <c r="C104" s="66">
        <f>IF(C95="Dim",C100,IF(C110="ferie",C100,0))</f>
        <v>0</v>
      </c>
      <c r="D104" s="66">
        <f t="shared" ref="D104:I104" si="170">IF(D95="Dim",D100,IF(D110="ferie",D100,0))</f>
        <v>0</v>
      </c>
      <c r="E104" s="66">
        <f t="shared" si="170"/>
        <v>0</v>
      </c>
      <c r="F104" s="66">
        <f t="shared" si="170"/>
        <v>0</v>
      </c>
      <c r="G104" s="66">
        <f t="shared" si="170"/>
        <v>0</v>
      </c>
      <c r="H104" s="66">
        <f t="shared" si="170"/>
        <v>0</v>
      </c>
      <c r="I104" s="66">
        <f t="shared" si="170"/>
        <v>0</v>
      </c>
      <c r="J104" s="60">
        <f t="shared" si="159"/>
        <v>0</v>
      </c>
      <c r="K104" s="60"/>
      <c r="L104" s="66">
        <f>IF(L95="Dim",L100,IF(L110="ferie",L100,0))</f>
        <v>0</v>
      </c>
      <c r="M104" s="66">
        <f t="shared" ref="M104:R104" si="171">IF(M95="Dim",M100,IF(M110="ferie",M100,0))</f>
        <v>0</v>
      </c>
      <c r="N104" s="66">
        <f t="shared" si="171"/>
        <v>0</v>
      </c>
      <c r="O104" s="66">
        <f t="shared" si="171"/>
        <v>0</v>
      </c>
      <c r="P104" s="66">
        <f t="shared" si="171"/>
        <v>0</v>
      </c>
      <c r="Q104" s="66">
        <f>IF(Q95="Dim",Q100,IF(Q110="ferie",Q100,0))</f>
        <v>0</v>
      </c>
      <c r="R104" s="66">
        <f t="shared" si="171"/>
        <v>0</v>
      </c>
      <c r="S104" s="60">
        <f t="shared" si="161"/>
        <v>0</v>
      </c>
      <c r="T104" s="60"/>
      <c r="U104" s="66">
        <f>IF(U95="Dim",U100,IF(U110="ferie",U100,0))</f>
        <v>0</v>
      </c>
      <c r="V104" s="66">
        <f t="shared" ref="V104:AA104" si="172">IF(V95="Dim",V100,IF(V110="ferie",V100,0))</f>
        <v>0</v>
      </c>
      <c r="W104" s="66">
        <f t="shared" si="172"/>
        <v>0</v>
      </c>
      <c r="X104" s="66">
        <f t="shared" si="172"/>
        <v>0</v>
      </c>
      <c r="Y104" s="66">
        <f t="shared" si="172"/>
        <v>0</v>
      </c>
      <c r="Z104" s="66">
        <f t="shared" si="172"/>
        <v>0</v>
      </c>
      <c r="AA104" s="66">
        <f t="shared" si="172"/>
        <v>0</v>
      </c>
      <c r="AB104" s="60">
        <f t="shared" ref="AB104" si="173">SUM(U104:AA104)</f>
        <v>0</v>
      </c>
      <c r="AC104" s="60"/>
      <c r="AD104" s="66">
        <f>IF(AD95="Dim",AD100,IF(AD110="ferie",AD100,0))</f>
        <v>0</v>
      </c>
      <c r="AE104" s="66">
        <f t="shared" ref="AE104:AJ104" si="174">IF(AE95="Dim",AE100,IF(AE110="ferie",AE100,0))</f>
        <v>0</v>
      </c>
      <c r="AF104" s="66">
        <f t="shared" si="174"/>
        <v>0</v>
      </c>
      <c r="AG104" s="66">
        <f t="shared" si="174"/>
        <v>0</v>
      </c>
      <c r="AH104" s="66">
        <f t="shared" si="174"/>
        <v>0</v>
      </c>
      <c r="AI104" s="66">
        <f t="shared" si="174"/>
        <v>0</v>
      </c>
      <c r="AJ104" s="66">
        <f t="shared" si="174"/>
        <v>0</v>
      </c>
      <c r="AK104" s="60">
        <f t="shared" si="165"/>
        <v>0</v>
      </c>
      <c r="AL104" s="60"/>
      <c r="AM104" s="66">
        <f>IF(AM95="Dim",AM100,IF(AM110="ferie",AM100,0))</f>
        <v>0</v>
      </c>
      <c r="AN104" s="66">
        <f t="shared" ref="AN104:AW104" si="175">IF(AN95="Dim",AN100,IF(AN110="ferie",AN100,0))</f>
        <v>0</v>
      </c>
      <c r="AO104" s="66">
        <f t="shared" si="175"/>
        <v>0</v>
      </c>
      <c r="AP104" s="66">
        <f t="shared" si="175"/>
        <v>0</v>
      </c>
      <c r="AQ104" s="66">
        <f t="shared" si="175"/>
        <v>0</v>
      </c>
      <c r="AR104" s="66">
        <f t="shared" si="175"/>
        <v>0</v>
      </c>
      <c r="AS104" s="66">
        <f t="shared" si="175"/>
        <v>0</v>
      </c>
      <c r="AT104" s="60">
        <f>SUM(AM104:AS104)</f>
        <v>0</v>
      </c>
      <c r="AU104" s="60"/>
      <c r="AV104" s="66">
        <f>IF(AV95="Dim",AV100,IF(AV110="ferie",AV100,0))</f>
        <v>0</v>
      </c>
      <c r="AW104" s="66">
        <f t="shared" si="175"/>
        <v>0</v>
      </c>
      <c r="AX104" s="60">
        <f t="shared" si="157"/>
        <v>0</v>
      </c>
      <c r="AY104" s="60">
        <f t="shared" si="169"/>
        <v>0</v>
      </c>
      <c r="AZ104" s="59"/>
    </row>
    <row r="105" spans="1:58" ht="15" customHeight="1" x14ac:dyDescent="0.25">
      <c r="A105" s="21" t="s">
        <v>8</v>
      </c>
      <c r="B105" s="81"/>
      <c r="C105" s="31"/>
      <c r="D105" s="31"/>
      <c r="E105" s="31"/>
      <c r="F105" s="31"/>
      <c r="G105" s="31"/>
      <c r="H105" s="31"/>
      <c r="I105" s="31"/>
      <c r="J105" s="60">
        <f t="shared" si="159"/>
        <v>0</v>
      </c>
      <c r="K105" s="60"/>
      <c r="L105" s="31"/>
      <c r="M105" s="31"/>
      <c r="N105" s="31"/>
      <c r="O105" s="31"/>
      <c r="P105" s="31"/>
      <c r="Q105" s="31"/>
      <c r="R105" s="31"/>
      <c r="S105" s="60">
        <f t="shared" si="161"/>
        <v>0</v>
      </c>
      <c r="T105" s="60"/>
      <c r="U105" s="31"/>
      <c r="V105" s="31"/>
      <c r="W105" s="31"/>
      <c r="X105" s="31"/>
      <c r="Y105" s="31"/>
      <c r="Z105" s="31"/>
      <c r="AA105" s="31"/>
      <c r="AB105" s="60">
        <f t="shared" si="163"/>
        <v>0</v>
      </c>
      <c r="AC105" s="60"/>
      <c r="AD105" s="31"/>
      <c r="AE105" s="31"/>
      <c r="AF105" s="31"/>
      <c r="AG105" s="31"/>
      <c r="AH105" s="31"/>
      <c r="AI105" s="31"/>
      <c r="AJ105" s="31"/>
      <c r="AK105" s="60">
        <f t="shared" si="165"/>
        <v>0</v>
      </c>
      <c r="AL105" s="60"/>
      <c r="AM105" s="31"/>
      <c r="AN105" s="31"/>
      <c r="AO105" s="31"/>
      <c r="AP105" s="31"/>
      <c r="AQ105" s="31"/>
      <c r="AR105" s="31"/>
      <c r="AS105" s="31"/>
      <c r="AT105" s="60">
        <f t="shared" si="167"/>
        <v>0</v>
      </c>
      <c r="AU105" s="60"/>
      <c r="AV105" s="31"/>
      <c r="AW105" s="31"/>
      <c r="AX105" s="60">
        <f t="shared" si="157"/>
        <v>0</v>
      </c>
      <c r="AY105" s="60">
        <f t="shared" si="169"/>
        <v>0</v>
      </c>
      <c r="AZ105" s="59"/>
    </row>
    <row r="106" spans="1:58" ht="15" customHeight="1" x14ac:dyDescent="0.25">
      <c r="A106" s="36" t="s">
        <v>9</v>
      </c>
      <c r="B106" s="82"/>
      <c r="C106" s="31"/>
      <c r="D106" s="31"/>
      <c r="E106" s="31"/>
      <c r="F106" s="31"/>
      <c r="G106" s="31"/>
      <c r="H106" s="31"/>
      <c r="I106" s="31"/>
      <c r="J106" s="60">
        <f t="shared" si="159"/>
        <v>0</v>
      </c>
      <c r="K106" s="60"/>
      <c r="L106" s="31"/>
      <c r="M106" s="31"/>
      <c r="N106" s="31"/>
      <c r="O106" s="31"/>
      <c r="P106" s="31"/>
      <c r="Q106" s="31"/>
      <c r="R106" s="31"/>
      <c r="S106" s="60">
        <f t="shared" si="161"/>
        <v>0</v>
      </c>
      <c r="T106" s="60"/>
      <c r="U106" s="31"/>
      <c r="V106" s="31"/>
      <c r="W106" s="31"/>
      <c r="X106" s="31"/>
      <c r="Y106" s="31"/>
      <c r="Z106" s="31"/>
      <c r="AA106" s="31"/>
      <c r="AB106" s="60">
        <f t="shared" si="163"/>
        <v>0</v>
      </c>
      <c r="AC106" s="60"/>
      <c r="AD106" s="31"/>
      <c r="AE106" s="31"/>
      <c r="AF106" s="31"/>
      <c r="AG106" s="31"/>
      <c r="AH106" s="31"/>
      <c r="AI106" s="31"/>
      <c r="AJ106" s="31"/>
      <c r="AK106" s="60">
        <f t="shared" si="165"/>
        <v>0</v>
      </c>
      <c r="AL106" s="60"/>
      <c r="AM106" s="31"/>
      <c r="AN106" s="31"/>
      <c r="AO106" s="31"/>
      <c r="AP106" s="31"/>
      <c r="AQ106" s="31"/>
      <c r="AR106" s="31"/>
      <c r="AS106" s="31"/>
      <c r="AT106" s="60">
        <f t="shared" si="167"/>
        <v>0</v>
      </c>
      <c r="AU106" s="60"/>
      <c r="AV106" s="31"/>
      <c r="AW106" s="31"/>
      <c r="AX106" s="60">
        <f t="shared" ref="AX106:AX108" si="176">SUM(AV106:AW106)</f>
        <v>0</v>
      </c>
      <c r="AY106" s="60">
        <f t="shared" si="169"/>
        <v>0</v>
      </c>
      <c r="AZ106" s="59"/>
    </row>
    <row r="107" spans="1:58" ht="15" customHeight="1" x14ac:dyDescent="0.25">
      <c r="A107" s="21" t="s">
        <v>11</v>
      </c>
      <c r="B107" s="81"/>
      <c r="C107" s="31"/>
      <c r="D107" s="31"/>
      <c r="E107" s="31"/>
      <c r="F107" s="31"/>
      <c r="G107" s="31"/>
      <c r="H107" s="31"/>
      <c r="I107" s="31"/>
      <c r="J107" s="60">
        <f t="shared" si="159"/>
        <v>0</v>
      </c>
      <c r="K107" s="60"/>
      <c r="L107" s="31"/>
      <c r="M107" s="31"/>
      <c r="N107" s="31"/>
      <c r="O107" s="31"/>
      <c r="P107" s="31"/>
      <c r="Q107" s="31"/>
      <c r="R107" s="31"/>
      <c r="S107" s="60">
        <f t="shared" si="161"/>
        <v>0</v>
      </c>
      <c r="T107" s="60"/>
      <c r="U107" s="31"/>
      <c r="V107" s="31"/>
      <c r="W107" s="31"/>
      <c r="X107" s="31"/>
      <c r="Y107" s="31"/>
      <c r="Z107" s="31"/>
      <c r="AA107" s="31"/>
      <c r="AB107" s="60">
        <f t="shared" si="163"/>
        <v>0</v>
      </c>
      <c r="AC107" s="60"/>
      <c r="AD107" s="31"/>
      <c r="AE107" s="31"/>
      <c r="AF107" s="31"/>
      <c r="AG107" s="31"/>
      <c r="AH107" s="31"/>
      <c r="AI107" s="31"/>
      <c r="AJ107" s="31"/>
      <c r="AK107" s="60">
        <f t="shared" si="165"/>
        <v>0</v>
      </c>
      <c r="AL107" s="60"/>
      <c r="AM107" s="31"/>
      <c r="AN107" s="31"/>
      <c r="AO107" s="31"/>
      <c r="AP107" s="31"/>
      <c r="AQ107" s="31"/>
      <c r="AR107" s="31"/>
      <c r="AS107" s="31"/>
      <c r="AT107" s="60">
        <f t="shared" si="167"/>
        <v>0</v>
      </c>
      <c r="AU107" s="60"/>
      <c r="AV107" s="31"/>
      <c r="AW107" s="31"/>
      <c r="AX107" s="60">
        <f t="shared" si="176"/>
        <v>0</v>
      </c>
      <c r="AY107" s="60">
        <f t="shared" si="169"/>
        <v>0</v>
      </c>
      <c r="AZ107" s="59"/>
    </row>
    <row r="108" spans="1:58" ht="15" customHeight="1" x14ac:dyDescent="0.25">
      <c r="A108" s="36" t="s">
        <v>10</v>
      </c>
      <c r="B108" s="82"/>
      <c r="C108" s="31"/>
      <c r="D108" s="31"/>
      <c r="E108" s="31"/>
      <c r="F108" s="31"/>
      <c r="G108" s="31"/>
      <c r="H108" s="31"/>
      <c r="I108" s="31"/>
      <c r="J108" s="60">
        <f t="shared" si="159"/>
        <v>0</v>
      </c>
      <c r="K108" s="60"/>
      <c r="L108" s="31"/>
      <c r="M108" s="31"/>
      <c r="N108" s="31"/>
      <c r="O108" s="31"/>
      <c r="P108" s="31"/>
      <c r="Q108" s="31"/>
      <c r="R108" s="31"/>
      <c r="S108" s="60">
        <f t="shared" si="161"/>
        <v>0</v>
      </c>
      <c r="T108" s="60"/>
      <c r="U108" s="31"/>
      <c r="V108" s="31"/>
      <c r="W108" s="31"/>
      <c r="X108" s="31"/>
      <c r="Y108" s="31"/>
      <c r="Z108" s="31"/>
      <c r="AA108" s="31"/>
      <c r="AB108" s="60">
        <f t="shared" si="163"/>
        <v>0</v>
      </c>
      <c r="AC108" s="60"/>
      <c r="AD108" s="31"/>
      <c r="AE108" s="31"/>
      <c r="AF108" s="31"/>
      <c r="AG108" s="31"/>
      <c r="AH108" s="31"/>
      <c r="AI108" s="31"/>
      <c r="AJ108" s="31"/>
      <c r="AK108" s="60">
        <f t="shared" si="165"/>
        <v>0</v>
      </c>
      <c r="AL108" s="60"/>
      <c r="AM108" s="31"/>
      <c r="AN108" s="31"/>
      <c r="AO108" s="31"/>
      <c r="AP108" s="31"/>
      <c r="AQ108" s="31"/>
      <c r="AR108" s="31"/>
      <c r="AS108" s="31"/>
      <c r="AT108" s="60">
        <f t="shared" si="167"/>
        <v>0</v>
      </c>
      <c r="AU108" s="60"/>
      <c r="AV108" s="31"/>
      <c r="AW108" s="31"/>
      <c r="AX108" s="60">
        <f t="shared" si="176"/>
        <v>0</v>
      </c>
      <c r="AY108" s="60">
        <f t="shared" si="169"/>
        <v>0</v>
      </c>
      <c r="AZ108" s="59"/>
    </row>
    <row r="109" spans="1:58" s="33" customFormat="1" ht="15" customHeight="1" x14ac:dyDescent="0.25">
      <c r="A109" s="36" t="s">
        <v>44</v>
      </c>
      <c r="B109" s="82"/>
      <c r="C109" s="60">
        <f>IF(C97="nuit",C100*0.02,0)</f>
        <v>0</v>
      </c>
      <c r="D109" s="60">
        <f>IF(D97="nuit",D100*0.02,0)</f>
        <v>0</v>
      </c>
      <c r="E109" s="60">
        <f t="shared" ref="E109:I109" si="177">IF(E97="nuit",E100*0.02,0)</f>
        <v>0</v>
      </c>
      <c r="F109" s="60">
        <f t="shared" si="177"/>
        <v>0</v>
      </c>
      <c r="G109" s="60">
        <f>IF(G97="nuit",G100*0.02,0)</f>
        <v>0</v>
      </c>
      <c r="H109" s="60">
        <f t="shared" si="177"/>
        <v>0</v>
      </c>
      <c r="I109" s="60">
        <f t="shared" si="177"/>
        <v>0</v>
      </c>
      <c r="J109" s="60">
        <f t="shared" si="159"/>
        <v>0</v>
      </c>
      <c r="K109" s="60"/>
      <c r="L109" s="60">
        <f>IF(L97="nuit",L100*0.02,0)</f>
        <v>0</v>
      </c>
      <c r="M109" s="60">
        <f>IF(M97="nuit",M100*0.02,0)</f>
        <v>0</v>
      </c>
      <c r="N109" s="60">
        <f t="shared" ref="N109:R109" si="178">IF(N97="nuit",N100*0.02,0)</f>
        <v>0</v>
      </c>
      <c r="O109" s="60">
        <f t="shared" si="178"/>
        <v>0</v>
      </c>
      <c r="P109" s="60">
        <f>IF(P97="nuit",P100*0.02,0)</f>
        <v>0</v>
      </c>
      <c r="Q109" s="60">
        <f t="shared" si="178"/>
        <v>0</v>
      </c>
      <c r="R109" s="60">
        <f t="shared" si="178"/>
        <v>0</v>
      </c>
      <c r="S109" s="60">
        <f t="shared" si="161"/>
        <v>0</v>
      </c>
      <c r="T109" s="60"/>
      <c r="U109" s="60">
        <f>IF(U97="nuit",U100*0.02,0)</f>
        <v>0</v>
      </c>
      <c r="V109" s="60">
        <f>IF(V97="nuit",V100*0.02,0)</f>
        <v>0</v>
      </c>
      <c r="W109" s="60">
        <f t="shared" ref="W109:AA109" si="179">IF(W97="nuit",W100*0.02,0)</f>
        <v>0</v>
      </c>
      <c r="X109" s="60">
        <f t="shared" si="179"/>
        <v>0</v>
      </c>
      <c r="Y109" s="60">
        <f>IF(Y97="nuit",Y100*0.02,0)</f>
        <v>0</v>
      </c>
      <c r="Z109" s="60">
        <f t="shared" si="179"/>
        <v>0</v>
      </c>
      <c r="AA109" s="60">
        <f t="shared" si="179"/>
        <v>0</v>
      </c>
      <c r="AB109" s="60">
        <f t="shared" si="163"/>
        <v>0</v>
      </c>
      <c r="AC109" s="60"/>
      <c r="AD109" s="60">
        <f>IF(AD97="nuit",AD100*0.02,0)</f>
        <v>0</v>
      </c>
      <c r="AE109" s="60">
        <f>IF(AE97="nuit",AE100*0.02,0)</f>
        <v>0</v>
      </c>
      <c r="AF109" s="60">
        <f t="shared" ref="AF109:AJ109" si="180">IF(AF97="nuit",AF100*0.02,0)</f>
        <v>0</v>
      </c>
      <c r="AG109" s="60">
        <f t="shared" si="180"/>
        <v>0</v>
      </c>
      <c r="AH109" s="60">
        <f>IF(AH97="nuit",AH100*0.02,0)</f>
        <v>0</v>
      </c>
      <c r="AI109" s="60">
        <f t="shared" si="180"/>
        <v>0</v>
      </c>
      <c r="AJ109" s="60">
        <f t="shared" si="180"/>
        <v>0</v>
      </c>
      <c r="AK109" s="60">
        <f t="shared" si="165"/>
        <v>0</v>
      </c>
      <c r="AL109" s="60"/>
      <c r="AM109" s="60">
        <f>IF(AM97="nuit",AM100*0.02,0)</f>
        <v>0</v>
      </c>
      <c r="AN109" s="60">
        <f>IF(AN97="nuit",AN100*0.02,0)</f>
        <v>0</v>
      </c>
      <c r="AO109" s="60">
        <f t="shared" ref="AO109:AS109" si="181">IF(AO97="nuit",AO100*0.02,0)</f>
        <v>0</v>
      </c>
      <c r="AP109" s="60">
        <f t="shared" si="181"/>
        <v>0</v>
      </c>
      <c r="AQ109" s="60">
        <f>IF(AQ97="nuit",AQ100*0.02,0)</f>
        <v>0</v>
      </c>
      <c r="AR109" s="60">
        <f t="shared" si="181"/>
        <v>0</v>
      </c>
      <c r="AS109" s="60">
        <f t="shared" si="181"/>
        <v>0</v>
      </c>
      <c r="AT109" s="60">
        <f t="shared" si="167"/>
        <v>0</v>
      </c>
      <c r="AU109" s="60"/>
      <c r="AV109" s="60">
        <f>IF(AV97="nuit",AV100*0.02,0)</f>
        <v>0</v>
      </c>
      <c r="AW109" s="60">
        <f>IF(AW97="nuit",AW100*0.02,0)</f>
        <v>0</v>
      </c>
      <c r="AX109" s="60">
        <f>SUM(AV109:AW109)</f>
        <v>0</v>
      </c>
      <c r="AY109" s="60">
        <f>J109+S109+AB109+AK109+AT109+AX109</f>
        <v>0</v>
      </c>
      <c r="AZ109" s="52"/>
      <c r="BA109" s="52"/>
      <c r="BB109" s="52"/>
      <c r="BC109" s="52"/>
      <c r="BD109" s="52"/>
      <c r="BE109" s="52"/>
      <c r="BF109" s="35"/>
    </row>
    <row r="110" spans="1:58" ht="15" customHeight="1" x14ac:dyDescent="0.25">
      <c r="A110" s="21" t="s">
        <v>31</v>
      </c>
      <c r="B110" s="81"/>
      <c r="C110" s="31"/>
      <c r="D110" s="31"/>
      <c r="E110" s="31"/>
      <c r="F110" s="31"/>
      <c r="G110" s="31"/>
      <c r="H110" s="37"/>
      <c r="I110" s="37"/>
      <c r="J110" s="64"/>
      <c r="K110" s="64"/>
      <c r="L110" s="37"/>
      <c r="M110" s="37"/>
      <c r="N110" s="37"/>
      <c r="O110" s="37"/>
      <c r="P110" s="37"/>
      <c r="Q110" s="37"/>
      <c r="R110" s="37"/>
      <c r="S110" s="64"/>
      <c r="T110" s="64"/>
      <c r="U110" s="37"/>
      <c r="V110" s="37"/>
      <c r="W110" s="37"/>
      <c r="X110" s="37"/>
      <c r="Y110" s="37"/>
      <c r="Z110" s="37"/>
      <c r="AA110" s="37"/>
      <c r="AB110" s="64"/>
      <c r="AC110" s="64"/>
      <c r="AD110" s="37"/>
      <c r="AE110" s="37"/>
      <c r="AF110" s="37"/>
      <c r="AG110" s="37"/>
      <c r="AH110" s="37"/>
      <c r="AI110" s="37"/>
      <c r="AJ110" s="37"/>
      <c r="AK110" s="64"/>
      <c r="AL110" s="64"/>
      <c r="AM110" s="37"/>
      <c r="AN110" s="37"/>
      <c r="AO110" s="37"/>
      <c r="AP110" s="37"/>
      <c r="AQ110" s="37"/>
      <c r="AR110" s="37"/>
      <c r="AS110" s="37"/>
      <c r="AT110" s="64"/>
      <c r="AU110" s="64"/>
      <c r="AV110" s="37"/>
      <c r="AW110" s="37"/>
      <c r="AX110" s="64"/>
      <c r="AY110" s="65"/>
    </row>
    <row r="111" spans="1:58" ht="15" customHeight="1" x14ac:dyDescent="0.25">
      <c r="A111" s="38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69"/>
    </row>
    <row r="112" spans="1:58" ht="27.6" x14ac:dyDescent="0.25">
      <c r="A112" s="21"/>
      <c r="B112" s="21"/>
      <c r="C112" s="24" t="s">
        <v>25</v>
      </c>
      <c r="D112" s="24"/>
      <c r="E112" s="24"/>
      <c r="F112" s="24"/>
      <c r="G112" s="24"/>
      <c r="H112" s="95">
        <f>Année_Calendaire</f>
        <v>2016</v>
      </c>
      <c r="I112" s="95"/>
      <c r="J112" s="88"/>
      <c r="K112" s="88"/>
      <c r="L112" s="31"/>
      <c r="M112" s="31"/>
      <c r="N112" s="31"/>
      <c r="O112" s="31"/>
      <c r="P112" s="31"/>
      <c r="Q112" s="31"/>
      <c r="R112" s="31"/>
      <c r="S112" s="88"/>
      <c r="T112" s="88"/>
      <c r="U112" s="24" t="s">
        <v>25</v>
      </c>
      <c r="V112" s="24"/>
      <c r="W112" s="24"/>
      <c r="X112" s="24"/>
      <c r="Y112" s="24"/>
      <c r="Z112" s="95">
        <f>Année_Calendaire</f>
        <v>2016</v>
      </c>
      <c r="AA112" s="95"/>
      <c r="AB112" s="88"/>
      <c r="AC112" s="88"/>
      <c r="AD112" s="31"/>
      <c r="AE112" s="31"/>
      <c r="AF112" s="31"/>
      <c r="AG112" s="31"/>
      <c r="AH112" s="31"/>
      <c r="AI112" s="31"/>
      <c r="AJ112" s="31"/>
      <c r="AK112" s="88"/>
      <c r="AL112" s="88"/>
      <c r="AM112" s="24" t="s">
        <v>25</v>
      </c>
      <c r="AN112" s="24"/>
      <c r="AO112" s="24"/>
      <c r="AP112" s="24"/>
      <c r="AQ112" s="24"/>
      <c r="AR112" s="95">
        <f>Année_Calendaire</f>
        <v>2016</v>
      </c>
      <c r="AS112" s="95"/>
      <c r="AT112" s="88"/>
      <c r="AU112" s="88"/>
      <c r="AV112" s="31"/>
      <c r="AW112" s="31"/>
      <c r="AX112" s="88"/>
    </row>
    <row r="113" spans="1:58" ht="29.25" customHeight="1" x14ac:dyDescent="0.25">
      <c r="A113" s="31"/>
      <c r="B113" s="60"/>
      <c r="C113" s="62" t="s">
        <v>13</v>
      </c>
      <c r="D113" s="62" t="s">
        <v>14</v>
      </c>
      <c r="E113" s="62" t="s">
        <v>15</v>
      </c>
      <c r="F113" s="62" t="s">
        <v>16</v>
      </c>
      <c r="G113" s="62" t="s">
        <v>17</v>
      </c>
      <c r="H113" s="62" t="s">
        <v>18</v>
      </c>
      <c r="I113" s="62" t="s">
        <v>19</v>
      </c>
      <c r="J113" s="96" t="s">
        <v>32</v>
      </c>
      <c r="K113" s="87"/>
      <c r="L113" s="62" t="s">
        <v>13</v>
      </c>
      <c r="M113" s="62" t="s">
        <v>14</v>
      </c>
      <c r="N113" s="62" t="s">
        <v>15</v>
      </c>
      <c r="O113" s="62" t="s">
        <v>16</v>
      </c>
      <c r="P113" s="62" t="s">
        <v>17</v>
      </c>
      <c r="Q113" s="62" t="s">
        <v>18</v>
      </c>
      <c r="R113" s="62" t="s">
        <v>19</v>
      </c>
      <c r="S113" s="96" t="s">
        <v>32</v>
      </c>
      <c r="T113" s="87"/>
      <c r="U113" s="62" t="s">
        <v>13</v>
      </c>
      <c r="V113" s="62" t="s">
        <v>14</v>
      </c>
      <c r="W113" s="62" t="s">
        <v>15</v>
      </c>
      <c r="X113" s="62" t="s">
        <v>16</v>
      </c>
      <c r="Y113" s="62" t="s">
        <v>17</v>
      </c>
      <c r="Z113" s="62" t="s">
        <v>18</v>
      </c>
      <c r="AA113" s="62" t="s">
        <v>19</v>
      </c>
      <c r="AB113" s="96" t="s">
        <v>32</v>
      </c>
      <c r="AC113" s="87"/>
      <c r="AD113" s="62" t="s">
        <v>13</v>
      </c>
      <c r="AE113" s="62" t="s">
        <v>14</v>
      </c>
      <c r="AF113" s="62" t="s">
        <v>15</v>
      </c>
      <c r="AG113" s="62" t="s">
        <v>16</v>
      </c>
      <c r="AH113" s="62" t="s">
        <v>17</v>
      </c>
      <c r="AI113" s="62" t="s">
        <v>18</v>
      </c>
      <c r="AJ113" s="62" t="s">
        <v>19</v>
      </c>
      <c r="AK113" s="96" t="s">
        <v>32</v>
      </c>
      <c r="AL113" s="87"/>
      <c r="AM113" s="62" t="s">
        <v>13</v>
      </c>
      <c r="AN113" s="62" t="s">
        <v>14</v>
      </c>
      <c r="AO113" s="62" t="s">
        <v>15</v>
      </c>
      <c r="AP113" s="62" t="s">
        <v>16</v>
      </c>
      <c r="AQ113" s="62" t="s">
        <v>17</v>
      </c>
      <c r="AR113" s="62" t="s">
        <v>18</v>
      </c>
      <c r="AS113" s="62" t="s">
        <v>19</v>
      </c>
      <c r="AT113" s="96" t="s">
        <v>32</v>
      </c>
      <c r="AU113" s="87"/>
      <c r="AV113" s="62" t="s">
        <v>13</v>
      </c>
      <c r="AW113" s="62" t="s">
        <v>14</v>
      </c>
      <c r="AX113" s="96" t="s">
        <v>32</v>
      </c>
      <c r="AY113" s="96" t="s">
        <v>35</v>
      </c>
      <c r="AZ113" s="97">
        <f>AY120+AY121+AY122</f>
        <v>0</v>
      </c>
      <c r="BA113" s="97">
        <f>AZ113+BA95</f>
        <v>15</v>
      </c>
    </row>
    <row r="114" spans="1:58" ht="15" customHeight="1" x14ac:dyDescent="0.25">
      <c r="A114" s="48"/>
      <c r="B114" s="83"/>
      <c r="C114" s="67" t="str">
        <f>IF(DAY(Juil_Dim1)=1,"",IF(AND(YEAR(Juil_Dim1+1)=Année_Calendaire,MONTH(Juil_Dim1+1)=7),Juil_Dim1+1,""))</f>
        <v/>
      </c>
      <c r="D114" s="67" t="str">
        <f>IF(DAY(Juil_Dim1)=1,"",IF(AND(YEAR(Juil_Dim1+2)=Année_Calendaire,MONTH(Juil_Dim1+2)=7),Juil_Dim1+2,""))</f>
        <v/>
      </c>
      <c r="E114" s="67" t="str">
        <f>IF(DAY(Juil_Dim1)=1,"",IF(AND(YEAR(Juil_Dim1+3)=Année_Calendaire,MONTH(Juil_Dim1+3)=7),Juil_Dim1+3,""))</f>
        <v/>
      </c>
      <c r="F114" s="67" t="str">
        <f>IF(DAY(Juil_Dim1)=1,"",IF(AND(YEAR(Juil_Dim1+4)=Année_Calendaire,MONTH(Juil_Dim1+4)=7),Juil_Dim1+4,""))</f>
        <v/>
      </c>
      <c r="G114" s="67">
        <f>IF(DAY(Juil_Dim1)=1,"",IF(AND(YEAR(Juil_Dim1+5)=Année_Calendaire,MONTH(Juil_Dim1+5)=7),Juil_Dim1+5,""))</f>
        <v>42552</v>
      </c>
      <c r="H114" s="67">
        <f>IF(DAY(Juil_Dim1)=1,"",IF(AND(YEAR(Juil_Dim1+6)=Année_Calendaire,MONTH(Juil_Dim1+6)=7),Juil_Dim1+6,""))</f>
        <v>42553</v>
      </c>
      <c r="I114" s="67">
        <f>IF(DAY(Juil_Dim1)=1,IF(AND(YEAR(Juil_Dim1)=Année_Calendaire,MONTH(Juil_Dim1)=7),Juil_Dim1,""),IF(AND(YEAR(Juil_Dim1+7)=Année_Calendaire,MONTH(Juil_Dim1+7)=7),Juil_Dim1+7,""))</f>
        <v>42554</v>
      </c>
      <c r="J114" s="96"/>
      <c r="K114" s="87"/>
      <c r="L114" s="67">
        <f>IF(DAY(Juil_Dim1)=1,IF(AND(YEAR(Juil_Dim1+1)=Année_Calendaire,MONTH(Juil_Dim1+1)=7),Juil_Dim1+1,""),IF(AND(YEAR(Juil_Dim1+8)=Année_Calendaire,MONTH(Juil_Dim1+8)=7),Juil_Dim1+8,""))</f>
        <v>42555</v>
      </c>
      <c r="M114" s="67">
        <f>IF(DAY(Juil_Dim1)=1,IF(AND(YEAR(Juil_Dim1+2)=Année_Calendaire,MONTH(Juil_Dim1+2)=7),Juil_Dim1+2,""),IF(AND(YEAR(Juil_Dim1+9)=Année_Calendaire,MONTH(Juil_Dim1+9)=7),Juil_Dim1+9,""))</f>
        <v>42556</v>
      </c>
      <c r="N114" s="67">
        <f>IF(DAY(Juil_Dim1)=1,IF(AND(YEAR(Juil_Dim1+3)=Année_Calendaire,MONTH(Juil_Dim1+3)=7),Juil_Dim1+3,""),IF(AND(YEAR(Juil_Dim1+10)=Année_Calendaire,MONTH(Juil_Dim1+10)=7),Juil_Dim1+10,""))</f>
        <v>42557</v>
      </c>
      <c r="O114" s="67">
        <f>IF(DAY(Juil_Dim1)=1,IF(AND(YEAR(Juil_Dim1+4)=Année_Calendaire,MONTH(Juil_Dim1+4)=7),Juil_Dim1+4,""),IF(AND(YEAR(Juil_Dim1+11)=Année_Calendaire,MONTH(Juil_Dim1+11)=7),Juil_Dim1+11,""))</f>
        <v>42558</v>
      </c>
      <c r="P114" s="67">
        <f>IF(DAY(Juil_Dim1)=1,IF(AND(YEAR(Juil_Dim1+5)=Année_Calendaire,MONTH(Juil_Dim1+5)=7),Juil_Dim1+5,""),IF(AND(YEAR(Juil_Dim1+12)=Année_Calendaire,MONTH(Juil_Dim1+12)=7),Juil_Dim1+12,""))</f>
        <v>42559</v>
      </c>
      <c r="Q114" s="67">
        <f>IF(DAY(Juil_Dim1)=1,IF(AND(YEAR(Juil_Dim1+6)=Année_Calendaire,MONTH(Juil_Dim1+6)=7),Juil_Dim1+6,""),IF(AND(YEAR(Juil_Dim1+13)=Année_Calendaire,MONTH(Juil_Dim1+13)=7),Juil_Dim1+13,""))</f>
        <v>42560</v>
      </c>
      <c r="R114" s="67">
        <f>IF(DAY(Juil_Dim1)=1,IF(AND(YEAR(Juil_Dim1+7)=Année_Calendaire,MONTH(Juil_Dim1+7)=7),Juil_Dim1+7,""),IF(AND(YEAR(Juil_Dim1+14)=Année_Calendaire,MONTH(Juil_Dim1+14)=7),Juil_Dim1+14,""))</f>
        <v>42561</v>
      </c>
      <c r="S114" s="96"/>
      <c r="T114" s="87"/>
      <c r="U114" s="67">
        <f>IF(DAY(Juil_Dim1)=1,IF(AND(YEAR(Juil_Dim1+8)=Année_Calendaire,MONTH(Juil_Dim1+8)=7),Juil_Dim1+8,""),IF(AND(YEAR(Juil_Dim1+15)=Année_Calendaire,MONTH(Juil_Dim1+15)=7),Juil_Dim1+15,""))</f>
        <v>42562</v>
      </c>
      <c r="V114" s="67">
        <f>IF(DAY(Juil_Dim1)=1,IF(AND(YEAR(Juil_Dim1+9)=Année_Calendaire,MONTH(Juil_Dim1+9)=7),Juil_Dim1+9,""),IF(AND(YEAR(Juil_Dim1+16)=Année_Calendaire,MONTH(Juil_Dim1+16)=7),Juil_Dim1+16,""))</f>
        <v>42563</v>
      </c>
      <c r="W114" s="67">
        <f>IF(DAY(Juil_Dim1)=1,IF(AND(YEAR(Juil_Dim1+10)=Année_Calendaire,MONTH(Juil_Dim1+10)=7),Juil_Dim1+10,""),IF(AND(YEAR(Juil_Dim1+17)=Année_Calendaire,MONTH(Juil_Dim1+17)=7),Juil_Dim1+17,""))</f>
        <v>42564</v>
      </c>
      <c r="X114" s="67">
        <f>IF(DAY(Juil_Dim1)=1,IF(AND(YEAR(Juil_Dim1+11)=Année_Calendaire,MONTH(Juil_Dim1+11)=7),Juil_Dim1+11,""),IF(AND(YEAR(Juil_Dim1+18)=Année_Calendaire,MONTH(Juil_Dim1+18)=7),Juil_Dim1+18,""))</f>
        <v>42565</v>
      </c>
      <c r="Y114" s="67">
        <f>IF(DAY(Juil_Dim1)=1,IF(AND(YEAR(Juil_Dim1+12)=Année_Calendaire,MONTH(Juil_Dim1+12)=7),Juil_Dim1+12,""),IF(AND(YEAR(Juil_Dim1+19)=Année_Calendaire,MONTH(Juil_Dim1+19)=7),Juil_Dim1+19,""))</f>
        <v>42566</v>
      </c>
      <c r="Z114" s="67">
        <f>IF(DAY(Juil_Dim1)=1,IF(AND(YEAR(Juil_Dim1+13)=Année_Calendaire,MONTH(Juil_Dim1+13)=7),Juil_Dim1+13,""),IF(AND(YEAR(Juil_Dim1+20)=Année_Calendaire,MONTH(Juil_Dim1+20)=7),Juil_Dim1+20,""))</f>
        <v>42567</v>
      </c>
      <c r="AA114" s="67">
        <f>IF(DAY(Juil_Dim1)=1,IF(AND(YEAR(Juil_Dim1+14)=Année_Calendaire,MONTH(Juil_Dim1+14)=7),Juil_Dim1+14,""),IF(AND(YEAR(Juil_Dim1+21)=Année_Calendaire,MONTH(Juil_Dim1+21)=7),Juil_Dim1+21,""))</f>
        <v>42568</v>
      </c>
      <c r="AB114" s="96"/>
      <c r="AC114" s="87"/>
      <c r="AD114" s="67">
        <f>IF(DAY(Juil_Dim1)=1,IF(AND(YEAR(Juil_Dim1+15)=Année_Calendaire,MONTH(Juil_Dim1+15)=7),Juil_Dim1+15,""),IF(AND(YEAR(Juil_Dim1+22)=Année_Calendaire,MONTH(Juil_Dim1+22)=7),Juil_Dim1+22,""))</f>
        <v>42569</v>
      </c>
      <c r="AE114" s="67">
        <f>IF(DAY(Juil_Dim1)=1,IF(AND(YEAR(Juil_Dim1+16)=Année_Calendaire,MONTH(Juil_Dim1+16)=7),Juil_Dim1+16,""),IF(AND(YEAR(Juil_Dim1+23)=Année_Calendaire,MONTH(Juil_Dim1+23)=7),Juil_Dim1+23,""))</f>
        <v>42570</v>
      </c>
      <c r="AF114" s="67">
        <f>IF(DAY(Juil_Dim1)=1,IF(AND(YEAR(Juil_Dim1+17)=Année_Calendaire,MONTH(Juil_Dim1+17)=7),Juil_Dim1+17,""),IF(AND(YEAR(Juil_Dim1+24)=Année_Calendaire,MONTH(Juil_Dim1+24)=7),Juil_Dim1+24,""))</f>
        <v>42571</v>
      </c>
      <c r="AG114" s="67">
        <f>IF(DAY(Juil_Dim1)=1,IF(AND(YEAR(Juil_Dim1+18)=Année_Calendaire,MONTH(Juil_Dim1+18)=7),Juil_Dim1+18,""),IF(AND(YEAR(Juil_Dim1+25)=Année_Calendaire,MONTH(Juil_Dim1+25)=7),Juil_Dim1+25,""))</f>
        <v>42572</v>
      </c>
      <c r="AH114" s="67">
        <f>IF(DAY(Juil_Dim1)=1,IF(AND(YEAR(Juil_Dim1+19)=Année_Calendaire,MONTH(Juil_Dim1+19)=7),Juil_Dim1+19,""),IF(AND(YEAR(Juil_Dim1+26)=Année_Calendaire,MONTH(Juil_Dim1+26)=7),Juil_Dim1+26,""))</f>
        <v>42573</v>
      </c>
      <c r="AI114" s="67">
        <f>IF(DAY(Juil_Dim1)=1,IF(AND(YEAR(Juil_Dim1+20)=Année_Calendaire,MONTH(Juil_Dim1+20)=7),Juil_Dim1+20,""),IF(AND(YEAR(Juil_Dim1+27)=Année_Calendaire,MONTH(Juil_Dim1+27)=7),Juil_Dim1+27,""))</f>
        <v>42574</v>
      </c>
      <c r="AJ114" s="67">
        <f>IF(DAY(Juil_Dim1)=1,IF(AND(YEAR(Juil_Dim1+21)=Année_Calendaire,MONTH(Juil_Dim1+21)=7),Juil_Dim1+21,""),IF(AND(YEAR(Juil_Dim1+28)=Année_Calendaire,MONTH(Juil_Dim1+28)=7),Juil_Dim1+28,""))</f>
        <v>42575</v>
      </c>
      <c r="AK114" s="96"/>
      <c r="AL114" s="87"/>
      <c r="AM114" s="67">
        <f>IF(DAY(Juil_Dim1)=1,IF(AND(YEAR(Juil_Dim1+22)=Année_Calendaire,MONTH(Juil_Dim1+22)=7),Juil_Dim1+22,""),IF(AND(YEAR(Juil_Dim1+29)=Année_Calendaire,MONTH(Juil_Dim1+29)=7),Juil_Dim1+29,""))</f>
        <v>42576</v>
      </c>
      <c r="AN114" s="67">
        <f>IF(DAY(Juil_Dim1)=1,IF(AND(YEAR(Juil_Dim1+23)=Année_Calendaire,MONTH(Juil_Dim1+23)=7),Juil_Dim1+23,""),IF(AND(YEAR(Juil_Dim1+30)=Année_Calendaire,MONTH(Juil_Dim1+30)=7),Juil_Dim1+30,""))</f>
        <v>42577</v>
      </c>
      <c r="AO114" s="67">
        <f>IF(DAY(Juil_Dim1)=1,IF(AND(YEAR(Juil_Dim1+24)=Année_Calendaire,MONTH(Juil_Dim1+24)=7),Juil_Dim1+24,""),IF(AND(YEAR(Juil_Dim1+31)=Année_Calendaire,MONTH(Juil_Dim1+31)=7),Juil_Dim1+31,""))</f>
        <v>42578</v>
      </c>
      <c r="AP114" s="67">
        <f>IF(DAY(Juil_Dim1)=1,IF(AND(YEAR(Juil_Dim1+25)=Année_Calendaire,MONTH(Juil_Dim1+25)=7),Juil_Dim1+25,""),IF(AND(YEAR(Juil_Dim1+32)=Année_Calendaire,MONTH(Juil_Dim1+32)=7),Juil_Dim1+32,""))</f>
        <v>42579</v>
      </c>
      <c r="AQ114" s="67">
        <f>IF(DAY(Juil_Dim1)=1,IF(AND(YEAR(Juil_Dim1+26)=Année_Calendaire,MONTH(Juil_Dim1+26)=7),Juil_Dim1+26,""),IF(AND(YEAR(Juil_Dim1+33)=Année_Calendaire,MONTH(Juil_Dim1+33)=7),Juil_Dim1+33,""))</f>
        <v>42580</v>
      </c>
      <c r="AR114" s="67">
        <f>IF(DAY(Juil_Dim1)=1,IF(AND(YEAR(Juil_Dim1+27)=Année_Calendaire,MONTH(Juil_Dim1+27)=7),Juil_Dim1+27,""),IF(AND(YEAR(Juil_Dim1+34)=Année_Calendaire,MONTH(Juil_Dim1+34)=7),Juil_Dim1+34,""))</f>
        <v>42581</v>
      </c>
      <c r="AS114" s="67">
        <f>IF(DAY(Juil_Dim1)=1,IF(AND(YEAR(Juil_Dim1+28)=Année_Calendaire,MONTH(Juil_Dim1+28)=7),Juil_Dim1+28,""),IF(AND(YEAR(Juil_Dim1+35)=Année_Calendaire,MONTH(Juil_Dim1+35)=7),Juil_Dim1+35,""))</f>
        <v>42582</v>
      </c>
      <c r="AT114" s="96"/>
      <c r="AU114" s="87"/>
      <c r="AV114" s="61" t="str">
        <f>IF(DAY(Juil_Dim1)=1,IF(AND(YEAR(Juil_Dim1+29)=Année_Calendaire,MONTH(Juil_Dim1+29)=7),Juil_Dim1+29,""),IF(AND(YEAR(Juil_Dim1+36)=Année_Calendaire,MONTH(Juil_Dim1+36)=7),Juil_Dim1+36,""))</f>
        <v/>
      </c>
      <c r="AW114" s="61" t="str">
        <f>IF(DAY(Juil_Dim1)=1,IF(AND(YEAR(Juil_Dim1+30)=Année_Calendaire,MONTH(Juil_Dim1+30)=7),Juil_Dim1+30,""),IF(AND(YEAR(Juil_Dim1+37)=Année_Calendaire,MONTH(Juil_Dim1+37)=7),Juil_Dim1+37,""))</f>
        <v/>
      </c>
      <c r="AX114" s="96"/>
      <c r="AY114" s="96"/>
      <c r="AZ114" s="97"/>
      <c r="BA114" s="97"/>
    </row>
    <row r="115" spans="1:58" ht="15" customHeight="1" x14ac:dyDescent="0.25">
      <c r="A115" s="21" t="s">
        <v>2</v>
      </c>
      <c r="B115" s="81"/>
      <c r="C115" s="31"/>
      <c r="D115" s="31"/>
      <c r="E115" s="31"/>
      <c r="F115" s="31"/>
      <c r="G115" s="31"/>
      <c r="H115" s="31"/>
      <c r="I115" s="31"/>
      <c r="J115" s="60"/>
      <c r="K115" s="60"/>
      <c r="L115" s="31"/>
      <c r="M115" s="31"/>
      <c r="N115" s="31"/>
      <c r="O115" s="31"/>
      <c r="P115" s="31"/>
      <c r="Q115" s="31"/>
      <c r="R115" s="31"/>
      <c r="S115" s="60"/>
      <c r="T115" s="60"/>
      <c r="U115" s="31"/>
      <c r="V115" s="31"/>
      <c r="W115" s="31"/>
      <c r="X115" s="31"/>
      <c r="Y115" s="31"/>
      <c r="Z115" s="31"/>
      <c r="AA115" s="31"/>
      <c r="AB115" s="60"/>
      <c r="AC115" s="60"/>
      <c r="AD115" s="31"/>
      <c r="AE115" s="31"/>
      <c r="AF115" s="31"/>
      <c r="AG115" s="31"/>
      <c r="AH115" s="31"/>
      <c r="AI115" s="31"/>
      <c r="AJ115" s="31"/>
      <c r="AK115" s="60"/>
      <c r="AL115" s="60"/>
      <c r="AM115" s="31"/>
      <c r="AN115" s="31"/>
      <c r="AO115" s="31"/>
      <c r="AP115" s="31"/>
      <c r="AQ115" s="31"/>
      <c r="AR115" s="31"/>
      <c r="AS115" s="31"/>
      <c r="AT115" s="60"/>
      <c r="AU115" s="60"/>
      <c r="AV115" s="31"/>
      <c r="AW115" s="31"/>
      <c r="AX115" s="60"/>
      <c r="AY115" s="63"/>
    </row>
    <row r="116" spans="1:58" ht="15" customHeight="1" x14ac:dyDescent="0.25">
      <c r="A116" s="21" t="s">
        <v>12</v>
      </c>
      <c r="B116" s="81"/>
      <c r="C116" s="60">
        <f t="shared" ref="C116:I116" si="182">IF(C115="Matin",1,IF(C115="AM",1,0))</f>
        <v>0</v>
      </c>
      <c r="D116" s="60">
        <f t="shared" si="182"/>
        <v>0</v>
      </c>
      <c r="E116" s="60">
        <f t="shared" si="182"/>
        <v>0</v>
      </c>
      <c r="F116" s="60">
        <f t="shared" si="182"/>
        <v>0</v>
      </c>
      <c r="G116" s="60">
        <f t="shared" si="182"/>
        <v>0</v>
      </c>
      <c r="H116" s="60">
        <f t="shared" si="182"/>
        <v>0</v>
      </c>
      <c r="I116" s="60">
        <f t="shared" si="182"/>
        <v>0</v>
      </c>
      <c r="J116" s="60">
        <f>SUM(C116:I116)</f>
        <v>0</v>
      </c>
      <c r="K116" s="60"/>
      <c r="L116" s="60">
        <f t="shared" ref="L116:R116" si="183">IF(L115="Matin",1,IF(L115="AM",1,0))</f>
        <v>0</v>
      </c>
      <c r="M116" s="60">
        <f t="shared" si="183"/>
        <v>0</v>
      </c>
      <c r="N116" s="60">
        <f t="shared" si="183"/>
        <v>0</v>
      </c>
      <c r="O116" s="60">
        <f t="shared" si="183"/>
        <v>0</v>
      </c>
      <c r="P116" s="60">
        <f t="shared" si="183"/>
        <v>0</v>
      </c>
      <c r="Q116" s="60">
        <f t="shared" si="183"/>
        <v>0</v>
      </c>
      <c r="R116" s="60">
        <f t="shared" si="183"/>
        <v>0</v>
      </c>
      <c r="S116" s="60">
        <f>SUM(L116:R116)</f>
        <v>0</v>
      </c>
      <c r="T116" s="60"/>
      <c r="U116" s="60">
        <f t="shared" ref="U116:AA116" si="184">IF(U115="Matin",1,IF(U115="AM",1,0))</f>
        <v>0</v>
      </c>
      <c r="V116" s="60">
        <f t="shared" si="184"/>
        <v>0</v>
      </c>
      <c r="W116" s="60">
        <f t="shared" si="184"/>
        <v>0</v>
      </c>
      <c r="X116" s="60">
        <f t="shared" si="184"/>
        <v>0</v>
      </c>
      <c r="Y116" s="60">
        <f t="shared" si="184"/>
        <v>0</v>
      </c>
      <c r="Z116" s="60">
        <f t="shared" si="184"/>
        <v>0</v>
      </c>
      <c r="AA116" s="60">
        <f t="shared" si="184"/>
        <v>0</v>
      </c>
      <c r="AB116" s="60">
        <f>SUM(U116:AA116)</f>
        <v>0</v>
      </c>
      <c r="AC116" s="60"/>
      <c r="AD116" s="60">
        <f t="shared" ref="AD116:AJ116" si="185">IF(AD115="Matin",1,IF(AD115="AM",1,0))</f>
        <v>0</v>
      </c>
      <c r="AE116" s="60">
        <f t="shared" si="185"/>
        <v>0</v>
      </c>
      <c r="AF116" s="60">
        <f t="shared" si="185"/>
        <v>0</v>
      </c>
      <c r="AG116" s="60">
        <f t="shared" si="185"/>
        <v>0</v>
      </c>
      <c r="AH116" s="60">
        <f t="shared" si="185"/>
        <v>0</v>
      </c>
      <c r="AI116" s="60">
        <f t="shared" si="185"/>
        <v>0</v>
      </c>
      <c r="AJ116" s="60">
        <f t="shared" si="185"/>
        <v>0</v>
      </c>
      <c r="AK116" s="60">
        <f>SUM(AD116:AJ116)</f>
        <v>0</v>
      </c>
      <c r="AL116" s="60"/>
      <c r="AM116" s="60">
        <f t="shared" ref="AM116:AS116" si="186">IF(AM115="Matin",1,IF(AM115="AM",1,0))</f>
        <v>0</v>
      </c>
      <c r="AN116" s="60">
        <f t="shared" si="186"/>
        <v>0</v>
      </c>
      <c r="AO116" s="60">
        <f t="shared" si="186"/>
        <v>0</v>
      </c>
      <c r="AP116" s="60">
        <f t="shared" si="186"/>
        <v>0</v>
      </c>
      <c r="AQ116" s="60">
        <f t="shared" si="186"/>
        <v>0</v>
      </c>
      <c r="AR116" s="60">
        <f t="shared" si="186"/>
        <v>0</v>
      </c>
      <c r="AS116" s="60">
        <f t="shared" si="186"/>
        <v>0</v>
      </c>
      <c r="AT116" s="60">
        <f>SUM(AM116:AS116)</f>
        <v>0</v>
      </c>
      <c r="AU116" s="60"/>
      <c r="AV116" s="60">
        <f t="shared" ref="AV116:AW116" si="187">IF(AV115="Matin",1,IF(AV115="AM",1,0))</f>
        <v>0</v>
      </c>
      <c r="AW116" s="60">
        <f t="shared" si="187"/>
        <v>0</v>
      </c>
      <c r="AX116" s="60">
        <f t="shared" ref="AX116:AX123" si="188">SUM(AV116:AW116)</f>
        <v>0</v>
      </c>
      <c r="AY116" s="60">
        <f>J116+S116+AB116+AK116+AT116+AX116</f>
        <v>0</v>
      </c>
    </row>
    <row r="117" spans="1:58" ht="15" customHeight="1" x14ac:dyDescent="0.25">
      <c r="A117" s="21" t="s">
        <v>4</v>
      </c>
      <c r="B117" s="81"/>
      <c r="C117" s="60">
        <f>IF(C118&gt;=1,1,0)</f>
        <v>0</v>
      </c>
      <c r="D117" s="60">
        <f>IF(D118&gt;=1,1,0)</f>
        <v>0</v>
      </c>
      <c r="E117" s="60">
        <f t="shared" ref="E117:I117" si="189">IF(E118&gt;=1,1,0)</f>
        <v>0</v>
      </c>
      <c r="F117" s="60">
        <f t="shared" si="189"/>
        <v>0</v>
      </c>
      <c r="G117" s="60">
        <f t="shared" si="189"/>
        <v>0</v>
      </c>
      <c r="H117" s="60">
        <f t="shared" si="189"/>
        <v>0</v>
      </c>
      <c r="I117" s="60">
        <f t="shared" si="189"/>
        <v>0</v>
      </c>
      <c r="J117" s="60">
        <f t="shared" ref="J117:J127" si="190">SUM(C117:I117)</f>
        <v>0</v>
      </c>
      <c r="K117" s="60"/>
      <c r="L117" s="60">
        <f>IF(L118&gt;=1,1,0)</f>
        <v>0</v>
      </c>
      <c r="M117" s="60">
        <f t="shared" ref="M117:R117" si="191">IF(M118&gt;=1,1,0)</f>
        <v>0</v>
      </c>
      <c r="N117" s="60">
        <f t="shared" si="191"/>
        <v>0</v>
      </c>
      <c r="O117" s="60">
        <f t="shared" si="191"/>
        <v>0</v>
      </c>
      <c r="P117" s="60">
        <f t="shared" si="191"/>
        <v>0</v>
      </c>
      <c r="Q117" s="60">
        <f t="shared" si="191"/>
        <v>0</v>
      </c>
      <c r="R117" s="60">
        <f t="shared" si="191"/>
        <v>0</v>
      </c>
      <c r="S117" s="60">
        <f t="shared" ref="S117:S127" si="192">SUM(L117:R117)</f>
        <v>0</v>
      </c>
      <c r="T117" s="60"/>
      <c r="U117" s="60">
        <f>IF(U118&gt;=1,1,0)</f>
        <v>0</v>
      </c>
      <c r="V117" s="60">
        <f t="shared" ref="V117:AA117" si="193">IF(V118&gt;=1,1,0)</f>
        <v>0</v>
      </c>
      <c r="W117" s="60">
        <f t="shared" si="193"/>
        <v>0</v>
      </c>
      <c r="X117" s="60">
        <f t="shared" si="193"/>
        <v>0</v>
      </c>
      <c r="Y117" s="60">
        <f t="shared" si="193"/>
        <v>0</v>
      </c>
      <c r="Z117" s="60">
        <f t="shared" si="193"/>
        <v>0</v>
      </c>
      <c r="AA117" s="60">
        <f t="shared" si="193"/>
        <v>0</v>
      </c>
      <c r="AB117" s="60">
        <f t="shared" ref="AB117:AB127" si="194">SUM(U117:AA117)</f>
        <v>0</v>
      </c>
      <c r="AC117" s="60"/>
      <c r="AD117" s="60">
        <f>IF(AD118&gt;=1,1,0)</f>
        <v>0</v>
      </c>
      <c r="AE117" s="60">
        <f t="shared" ref="AE117:AJ117" si="195">IF(AE118&gt;=1,1,0)</f>
        <v>0</v>
      </c>
      <c r="AF117" s="60">
        <f t="shared" si="195"/>
        <v>0</v>
      </c>
      <c r="AG117" s="60">
        <f t="shared" si="195"/>
        <v>0</v>
      </c>
      <c r="AH117" s="60">
        <f t="shared" si="195"/>
        <v>0</v>
      </c>
      <c r="AI117" s="60">
        <f t="shared" si="195"/>
        <v>0</v>
      </c>
      <c r="AJ117" s="60">
        <f t="shared" si="195"/>
        <v>0</v>
      </c>
      <c r="AK117" s="60">
        <f t="shared" ref="AK117:AK127" si="196">SUM(AD117:AJ117)</f>
        <v>0</v>
      </c>
      <c r="AL117" s="60"/>
      <c r="AM117" s="60">
        <f>IF(AM118&gt;=1,1,0)</f>
        <v>0</v>
      </c>
      <c r="AN117" s="60">
        <f t="shared" ref="AN117:AS117" si="197">IF(AN118&gt;=1,1,0)</f>
        <v>0</v>
      </c>
      <c r="AO117" s="60">
        <f t="shared" si="197"/>
        <v>0</v>
      </c>
      <c r="AP117" s="60">
        <f t="shared" si="197"/>
        <v>0</v>
      </c>
      <c r="AQ117" s="60">
        <f t="shared" si="197"/>
        <v>0</v>
      </c>
      <c r="AR117" s="60">
        <f t="shared" si="197"/>
        <v>0</v>
      </c>
      <c r="AS117" s="60">
        <f t="shared" si="197"/>
        <v>0</v>
      </c>
      <c r="AT117" s="60">
        <f t="shared" ref="AT117:AT127" si="198">SUM(AM117:AS117)</f>
        <v>0</v>
      </c>
      <c r="AU117" s="60"/>
      <c r="AV117" s="60">
        <f>IF(AV118&gt;=1,1,0)</f>
        <v>0</v>
      </c>
      <c r="AW117" s="60">
        <f t="shared" ref="AW117" si="199">IF(AW118&gt;=1,1,0)</f>
        <v>0</v>
      </c>
      <c r="AX117" s="60">
        <f t="shared" si="188"/>
        <v>0</v>
      </c>
      <c r="AY117" s="60">
        <f t="shared" ref="AY117:AY126" si="200">J117+S117+AB117+AK117+AT117+AX117</f>
        <v>0</v>
      </c>
    </row>
    <row r="118" spans="1:58" ht="15" customHeight="1" x14ac:dyDescent="0.25">
      <c r="A118" s="21" t="s">
        <v>3</v>
      </c>
      <c r="B118" s="81"/>
      <c r="C118" s="31"/>
      <c r="D118" s="31"/>
      <c r="E118" s="31"/>
      <c r="F118" s="31"/>
      <c r="G118" s="31"/>
      <c r="H118" s="31"/>
      <c r="I118" s="31"/>
      <c r="J118" s="60">
        <f t="shared" si="190"/>
        <v>0</v>
      </c>
      <c r="K118" s="60"/>
      <c r="L118" s="31"/>
      <c r="M118" s="31"/>
      <c r="N118" s="31"/>
      <c r="O118" s="31"/>
      <c r="P118" s="31"/>
      <c r="Q118" s="31"/>
      <c r="R118" s="31"/>
      <c r="S118" s="60">
        <f t="shared" si="192"/>
        <v>0</v>
      </c>
      <c r="T118" s="60"/>
      <c r="U118" s="31"/>
      <c r="V118" s="31"/>
      <c r="W118" s="31"/>
      <c r="X118" s="31"/>
      <c r="Y118" s="31"/>
      <c r="Z118" s="31"/>
      <c r="AA118" s="31"/>
      <c r="AB118" s="60">
        <f t="shared" si="194"/>
        <v>0</v>
      </c>
      <c r="AC118" s="60"/>
      <c r="AD118" s="31"/>
      <c r="AE118" s="31"/>
      <c r="AF118" s="31"/>
      <c r="AG118" s="31"/>
      <c r="AH118" s="31"/>
      <c r="AI118" s="31"/>
      <c r="AJ118" s="31"/>
      <c r="AK118" s="60">
        <f t="shared" si="196"/>
        <v>0</v>
      </c>
      <c r="AL118" s="60"/>
      <c r="AM118" s="31"/>
      <c r="AN118" s="31"/>
      <c r="AO118" s="31"/>
      <c r="AP118" s="31"/>
      <c r="AQ118" s="31"/>
      <c r="AR118" s="31"/>
      <c r="AS118" s="31"/>
      <c r="AT118" s="60">
        <f t="shared" si="198"/>
        <v>0</v>
      </c>
      <c r="AU118" s="60"/>
      <c r="AV118" s="31"/>
      <c r="AW118" s="31"/>
      <c r="AX118" s="60">
        <f t="shared" si="188"/>
        <v>0</v>
      </c>
      <c r="AY118" s="60">
        <f t="shared" si="200"/>
        <v>0</v>
      </c>
    </row>
    <row r="119" spans="1:58" ht="15" customHeight="1" x14ac:dyDescent="0.25">
      <c r="A119" s="36" t="s">
        <v>20</v>
      </c>
      <c r="B119" s="82"/>
      <c r="C119" s="66">
        <f>IF(C113&lt;&gt;"Dim",IF(C118&gt;32,MIN(C118,35)-32,0),0)</f>
        <v>0</v>
      </c>
      <c r="D119" s="66">
        <f>IF(D113&lt;&gt;"Dim",IF(SUM($C118:D118)&gt;32,MIN(SUM($C118:D118),35)-32-SUM($C119:C119),0),0)</f>
        <v>0</v>
      </c>
      <c r="E119" s="66">
        <f>IF(E113&lt;&gt;"Dim",IF(SUM($C118:E118)&gt;32,MIN(SUM($C118:E118),35)-32-SUM($C119:D119),0),0)</f>
        <v>0</v>
      </c>
      <c r="F119" s="66">
        <f>IF(F113&lt;&gt;"Dim",IF(SUM($C118:F118)&gt;32,MIN(SUM($C118:F118),35)-32-SUM($C119:E119),0),0)</f>
        <v>0</v>
      </c>
      <c r="G119" s="66">
        <f>IF(G113&lt;&gt;"Dim",IF(SUM($C118:G118)&gt;32,MIN(SUM($C118:G118),35)-32-SUM($C119:F119),0),0)</f>
        <v>0</v>
      </c>
      <c r="H119" s="66">
        <f>IF(H113&lt;&gt;"Dim",IF(SUM($C118:H118)&gt;32,MIN(SUM($C118:H118),35)-32-SUM($C119:G119),0),0)</f>
        <v>0</v>
      </c>
      <c r="I119" s="66">
        <f>IF(I113&lt;&gt;"Dim",IF(SUM($C118:I118)&gt;32,MIN(SUM($C118:I118),35)-32-SUM($C119:H119),0),0)</f>
        <v>0</v>
      </c>
      <c r="J119" s="60">
        <f t="shared" si="190"/>
        <v>0</v>
      </c>
      <c r="K119" s="60"/>
      <c r="L119" s="66">
        <f>IF(L113&lt;&gt;"Dim",IF(L118&gt;32,MIN(L118,35)-32,0),0)</f>
        <v>0</v>
      </c>
      <c r="M119" s="66">
        <f>IF(M113&lt;&gt;"Dim",IF(SUM($L118:M118)&gt;32,MIN(SUM($L118:M118),35)-32-SUM($L119:L119),0),0)</f>
        <v>0</v>
      </c>
      <c r="N119" s="66">
        <f>IF(N113&lt;&gt;"Dim",IF(SUM($L118:N118)&gt;32,MIN(SUM($L118:N118),35)-32-SUM($L119:M119),0),0)</f>
        <v>0</v>
      </c>
      <c r="O119" s="66">
        <f>IF(O113&lt;&gt;"Dim",IF(SUM($L118:O118)&gt;32,MIN(SUM($L118:O118),35)-32-SUM($L119:N119),0),0)</f>
        <v>0</v>
      </c>
      <c r="P119" s="66">
        <f>IF(P113&lt;&gt;"Dim",IF(SUM($L118:P118)&gt;32,MIN(SUM($L118:P118),35)-32-SUM($L119:O119),0),0)</f>
        <v>0</v>
      </c>
      <c r="Q119" s="66">
        <f>IF(Q113&lt;&gt;"Dim",IF(SUM($L118:Q118)&gt;32,MIN(SUM($L118:Q118),35)-32-SUM($L119:P119),0),0)</f>
        <v>0</v>
      </c>
      <c r="R119" s="66">
        <f>IF(R113&lt;&gt;"Dim",IF(SUM($L118:R118)&gt;32,MIN(SUM($L118:R118),35)-32-SUM($L119:Q119),0),0)</f>
        <v>0</v>
      </c>
      <c r="S119" s="60">
        <f t="shared" si="192"/>
        <v>0</v>
      </c>
      <c r="T119" s="60"/>
      <c r="U119" s="66">
        <f>IF(U113&lt;&gt;"Dim",IF(U118&gt;32,MIN(U118,35)-32,0),0)</f>
        <v>0</v>
      </c>
      <c r="V119" s="66">
        <f>IF(V113&lt;&gt;"Dim",IF(SUM($U118:V118)&gt;32,MIN(SUM($U118:V118),35)-32-SUM($U119:U119),0),0)</f>
        <v>0</v>
      </c>
      <c r="W119" s="66">
        <f>IF(W113&lt;&gt;"Dim",IF(SUM($U118:W118)&gt;32,MIN(SUM($U118:W118),35)-32-SUM($U119:V119),0),0)</f>
        <v>0</v>
      </c>
      <c r="X119" s="66">
        <f>IF(X113&lt;&gt;"Dim",IF(SUM($U118:X118)&gt;32,MIN(SUM($U118:X118),35)-32-SUM($U119:W119),0),0)</f>
        <v>0</v>
      </c>
      <c r="Y119" s="66">
        <f>IF(Y113&lt;&gt;"Dim",IF(SUM($U118:Y118)&gt;32,MIN(SUM($U118:Y118),35)-32-SUM($U119:X119),0),0)</f>
        <v>0</v>
      </c>
      <c r="Z119" s="66">
        <f>IF(Z113&lt;&gt;"Dim",IF(SUM($U118:Z118)&gt;32,MIN(SUM($U118:Z118),35)-32-SUM($U119:Y119),0),0)</f>
        <v>0</v>
      </c>
      <c r="AA119" s="66">
        <f>IF(AA113&lt;&gt;"Dim",IF(SUM($U118:AA118)&gt;32,MIN(SUM($U118:AA118),35)-32-SUM($U119:Z119),0),0)</f>
        <v>0</v>
      </c>
      <c r="AB119" s="60">
        <f t="shared" si="194"/>
        <v>0</v>
      </c>
      <c r="AC119" s="60"/>
      <c r="AD119" s="66">
        <f>IF(AD113&lt;&gt;"Dim",IF(AD118&gt;32,MIN(AD118,35)-32,0),0)</f>
        <v>0</v>
      </c>
      <c r="AE119" s="66">
        <f>IF(AE113&lt;&gt;"Dim",IF(SUM($AD118:AE118)&gt;32,MIN(SUM($AD118:AE118),35)-32-SUM($AD119:AD119),0),0)</f>
        <v>0</v>
      </c>
      <c r="AF119" s="66">
        <f>IF(AF113&lt;&gt;"Dim",IF(SUM($AD118:AF118)&gt;32,MIN(SUM($AD118:AF118),35)-32-SUM($AD119:AE119),0),0)</f>
        <v>0</v>
      </c>
      <c r="AG119" s="66">
        <f>IF(AG113&lt;&gt;"Dim",IF(SUM($AD118:AG118)&gt;32,MIN(SUM($AD118:AG118),35)-32-SUM($AD119:AF119),0),0)</f>
        <v>0</v>
      </c>
      <c r="AH119" s="66">
        <f>IF(AH113&lt;&gt;"Dim",IF(SUM($AD118:AH118)&gt;32,MIN(SUM($AD118:AH118),35)-32-SUM($AD119:AG119),0),0)</f>
        <v>0</v>
      </c>
      <c r="AI119" s="66">
        <f>IF(AI113&lt;&gt;"Dim",IF(SUM($AD118:AI118)&gt;32,MIN(SUM($AD118:AI118),35)-32-SUM($AD119:AH119),0),0)</f>
        <v>0</v>
      </c>
      <c r="AJ119" s="66">
        <f>IF(AJ113&lt;&gt;"Dim",IF(SUM($AD118:AJ118)&gt;32,MIN(SUM($AD118:AJ118),35)-32-SUM($AD119:AI119),0),0)</f>
        <v>0</v>
      </c>
      <c r="AK119" s="60">
        <f t="shared" si="196"/>
        <v>0</v>
      </c>
      <c r="AL119" s="60"/>
      <c r="AM119" s="66">
        <f>IF(AM113&lt;&gt;"Dim",IF(AM118&gt;32,MIN(AM118,35)-32,0),0)</f>
        <v>0</v>
      </c>
      <c r="AN119" s="66">
        <f>IF(AN113&lt;&gt;"Dim",IF(SUM($AM118:AN118)&gt;32,MIN(SUM($AM118:AN118),35)-32-SUM($AM119:AM119),0),0)</f>
        <v>0</v>
      </c>
      <c r="AO119" s="66">
        <f>IF(AO113&lt;&gt;"Dim",IF(SUM($AM118:AO118)&gt;32,MIN(SUM($AM118:AO118),35)-32-SUM($AM119:AN119),0),0)</f>
        <v>0</v>
      </c>
      <c r="AP119" s="66">
        <f>IF(AP113&lt;&gt;"Dim",IF(SUM($AM118:AP118)&gt;32,MIN(SUM($AM118:AP118),35)-32-SUM($AM119:AO119),0),0)</f>
        <v>0</v>
      </c>
      <c r="AQ119" s="66">
        <f>IF(AQ113&lt;&gt;"Dim",IF(SUM($AM118:AQ118)&gt;32,MIN(SUM($AM118:AQ118),35)-32-SUM($AM119:AP119),0),0)</f>
        <v>0</v>
      </c>
      <c r="AR119" s="66">
        <f>IF(AR113&lt;&gt;"Dim",IF(SUM($AM118:AR118)&gt;32,MIN(SUM($AM118:AR118),35)-32-SUM($AM119:AQ119),0),0)</f>
        <v>0</v>
      </c>
      <c r="AS119" s="66">
        <f>IF(AS113&lt;&gt;"Dim",IF(SUM($AM118:AS118)&gt;32,MIN(SUM($AM118:AS118),35)-32-SUM($AM119:AR119),0),0)</f>
        <v>0</v>
      </c>
      <c r="AT119" s="60">
        <f t="shared" si="198"/>
        <v>0</v>
      </c>
      <c r="AU119" s="60"/>
      <c r="AV119" s="66">
        <f>IF(AV113&lt;&gt;"Dim",IF(AV118&gt;32,MIN(AV118,35)-32,0),0)</f>
        <v>0</v>
      </c>
      <c r="AW119" s="66">
        <f>IF(AW113&lt;&gt;"Dim",IF(SUM($AV118:AW118)&gt;32,MIN(SUM($AV118:AW118),35)-32-SUM($AV119:AV119),0),0)</f>
        <v>0</v>
      </c>
      <c r="AX119" s="60">
        <f t="shared" si="188"/>
        <v>0</v>
      </c>
      <c r="AY119" s="60">
        <f t="shared" si="200"/>
        <v>0</v>
      </c>
    </row>
    <row r="120" spans="1:58" ht="15" customHeight="1" x14ac:dyDescent="0.25">
      <c r="A120" s="21" t="s">
        <v>6</v>
      </c>
      <c r="B120" s="81"/>
      <c r="C120" s="66">
        <f>IF(C113&lt;&gt;"Dim",IF(C118&gt;35,(MIN(C118,43)-35),0),0)</f>
        <v>0</v>
      </c>
      <c r="D120" s="66">
        <f>IF(D113&lt;&gt;"Dim",IF(SUM($C118:D118)&gt;35,(MIN(SUM($C118:D118),43)-35-SUM($C120:C120)),0),0)</f>
        <v>0</v>
      </c>
      <c r="E120" s="66">
        <f>IF(E113&lt;&gt;"Dim",IF(SUM($C118:E118)&gt;35,(MIN(SUM($C118:E118),43)-35-SUM($C120:D120)),0),0)</f>
        <v>0</v>
      </c>
      <c r="F120" s="66">
        <f>IF(F113&lt;&gt;"Dim",IF(SUM($C118:F118)&gt;35,(MIN(SUM($C118:F118),43)-35-SUM($C120:E120)),0),0)</f>
        <v>0</v>
      </c>
      <c r="G120" s="66">
        <f>IF(G113&lt;&gt;"Dim",IF(SUM($C118:G118)&gt;35,(MIN(SUM($C118:G118),43)-35-SUM($C120:F120)),0),0)</f>
        <v>0</v>
      </c>
      <c r="H120" s="66">
        <f>IF(H113&lt;&gt;"Dim",IF(SUM($C118:H118)&gt;35,(MIN(SUM($C118:H118),43)-35-SUM($C120:G120)),0),0)</f>
        <v>0</v>
      </c>
      <c r="I120" s="66">
        <f>IF(I113&lt;&gt;"Dim",IF(SUM($C118:I118)&gt;35,(MIN(SUM($C118:I118),43)-35-SUM($C120:H120)),0),0)</f>
        <v>0</v>
      </c>
      <c r="J120" s="60">
        <f t="shared" si="190"/>
        <v>0</v>
      </c>
      <c r="K120" s="60"/>
      <c r="L120" s="66">
        <f>IF(L113&lt;&gt;"Dim",IF(L118&gt;35,(MIN(L118,43)-35),0),0)</f>
        <v>0</v>
      </c>
      <c r="M120" s="66">
        <f>IF(M113&lt;&gt;"Dim",IF(SUM($L118:M118)&gt;35,(MIN(SUM($L118:M118),43)-35-SUM($L120:L120)),0),0)</f>
        <v>0</v>
      </c>
      <c r="N120" s="66">
        <f>IF(N113&lt;&gt;"Dim",IF(SUM($L118:N118)&gt;35,(MIN(SUM($L118:N118),43)-35-SUM($L120:M120)),0),0)</f>
        <v>0</v>
      </c>
      <c r="O120" s="66">
        <f>IF(O113&lt;&gt;"Dim",IF(SUM($L118:O118)&gt;35,(MIN(SUM($L118:O118),43)-35-SUM($L120:N120)),0),0)</f>
        <v>0</v>
      </c>
      <c r="P120" s="66">
        <f>IF(P113&lt;&gt;"Dim",IF(SUM($L118:P118)&gt;35,(MIN(SUM($L118:P118),43)-35-SUM($L120:O120)),0),0)</f>
        <v>0</v>
      </c>
      <c r="Q120" s="66">
        <f>IF(Q113&lt;&gt;"Dim",IF(SUM($L118:Q118)&gt;35,(MIN(SUM($L118:Q118),43)-35-SUM($L120:P120)),0),0)</f>
        <v>0</v>
      </c>
      <c r="R120" s="66">
        <f>IF(R113&lt;&gt;"Dim",IF(SUM($L118:R118)&gt;35,(MIN(SUM($L118:R118),43)-35-SUM($L120:Q120)),0),0)</f>
        <v>0</v>
      </c>
      <c r="S120" s="60">
        <f t="shared" si="192"/>
        <v>0</v>
      </c>
      <c r="T120" s="60"/>
      <c r="U120" s="66">
        <f>IF(U113&lt;&gt;"Dim",IF(U118&gt;35,(MIN(U118,43)-35),0),0)</f>
        <v>0</v>
      </c>
      <c r="V120" s="66">
        <f>IF(V113&lt;&gt;"Dim",IF(SUM($U118:V118)&gt;35,(MIN(SUM($U118:V118),43)-35-SUM($U120:U120)),0),0)</f>
        <v>0</v>
      </c>
      <c r="W120" s="66">
        <f>IF(W113&lt;&gt;"Dim",IF(SUM($U118:W118)&gt;35,(MIN(SUM($U118:W118),43)-35-SUM($U120:V120)),0),0)</f>
        <v>0</v>
      </c>
      <c r="X120" s="66">
        <f>IF(X113&lt;&gt;"Dim",IF(SUM($U118:X118)&gt;35,(MIN(SUM($U118:X118),43)-35-SUM($U120:W120)),0),0)</f>
        <v>0</v>
      </c>
      <c r="Y120" s="66">
        <f>IF(Y113&lt;&gt;"Dim",IF(SUM($U118:Y118)&gt;35,(MIN(SUM($U118:Y118),43)-35-SUM($U120:X120)),0),0)</f>
        <v>0</v>
      </c>
      <c r="Z120" s="66">
        <f>IF(Z113&lt;&gt;"Dim",IF(SUM($U118:Z118)&gt;35,(MIN(SUM($U118:Z118),43)-35-SUM($U120:Y120)),0),0)</f>
        <v>0</v>
      </c>
      <c r="AA120" s="66">
        <f>IF(AA113&lt;&gt;"Dim",IF(SUM($U118:AA118)&gt;35,(MIN(SUM($U118:AA118),43)-35-SUM($U120:Z120)),0),0)</f>
        <v>0</v>
      </c>
      <c r="AB120" s="60">
        <f t="shared" si="194"/>
        <v>0</v>
      </c>
      <c r="AC120" s="60"/>
      <c r="AD120" s="66">
        <f>IF(AD113&lt;&gt;"Dim",IF(AD118&gt;35,(MIN(AD118,43)-35),0),0)</f>
        <v>0</v>
      </c>
      <c r="AE120" s="66">
        <f>IF(AE113&lt;&gt;"Dim",IF(SUM($AD118:AE118)&gt;35,(MIN(SUM($AD118:AE118),43)-35-SUM($AD120:AD120)),0),0)</f>
        <v>0</v>
      </c>
      <c r="AF120" s="66">
        <f>IF(AF113&lt;&gt;"Dim",IF(SUM($AD118:AF118)&gt;35,(MIN(SUM($AD118:AF118),43)-35-SUM($AD120:AE120)),0),0)</f>
        <v>0</v>
      </c>
      <c r="AG120" s="66">
        <f>IF(AG113&lt;&gt;"Dim",IF(SUM($AD118:AG118)&gt;35,(MIN(SUM($AD118:AG118),43)-35-SUM($AD120:AF120)),0),0)</f>
        <v>0</v>
      </c>
      <c r="AH120" s="66">
        <f>IF(AH113&lt;&gt;"Dim",IF(SUM($AD118:AH118)&gt;35,(MIN(SUM($AD118:AH118),43)-35-SUM($AD120:AG120)),0),0)</f>
        <v>0</v>
      </c>
      <c r="AI120" s="66">
        <f>IF(AI113&lt;&gt;"Dim",IF(SUM($AD118:AI118)&gt;35,(MIN(SUM($AD118:AI118),43)-35-SUM($AD120:AH120)),0),0)</f>
        <v>0</v>
      </c>
      <c r="AJ120" s="66">
        <f>IF(AJ113&lt;&gt;"Dim",IF(SUM($AD118:AJ118)&gt;35,(MIN(SUM($AD118:AJ118),43)-35-SUM($AD120:AI120)),0),0)</f>
        <v>0</v>
      </c>
      <c r="AK120" s="60">
        <f t="shared" si="196"/>
        <v>0</v>
      </c>
      <c r="AL120" s="60"/>
      <c r="AM120" s="66">
        <f>IF(AM113&lt;&gt;"Dim",IF(AM118&gt;35,(MIN(AM118,43)-35),0),0)</f>
        <v>0</v>
      </c>
      <c r="AN120" s="66">
        <f>IF(AN113&lt;&gt;"Dim",IF(SUM($AM118:AN118)&gt;35,(MIN(SUM($AM118:AN118),43)-35-SUM($AM120:AM120)),0),0)</f>
        <v>0</v>
      </c>
      <c r="AO120" s="66">
        <f>IF(AO113&lt;&gt;"Dim",IF(SUM($AM118:AO118)&gt;35,(MIN(SUM($AM118:AO118),43)-35-SUM($AM120:AN120)),0),0)</f>
        <v>0</v>
      </c>
      <c r="AP120" s="66">
        <f>IF(AP113&lt;&gt;"Dim",IF(SUM($AM118:AP118)&gt;35,(MIN(SUM($AM118:AP118),43)-35-SUM($AM120:AO120)),0),0)</f>
        <v>0</v>
      </c>
      <c r="AQ120" s="66">
        <f>IF(AQ113&lt;&gt;"Dim",IF(SUM($AM118:AQ118)&gt;35,(MIN(SUM($AM118:AQ118),43)-35-SUM($AM120:AP120)),0),0)</f>
        <v>0</v>
      </c>
      <c r="AR120" s="66">
        <f>IF(AR113&lt;&gt;"Dim",IF(SUM($AM118:AR118)&gt;35,(MIN(SUM($AM118:AR118),43)-35-SUM($AM120:AQ120)),0),0)</f>
        <v>0</v>
      </c>
      <c r="AS120" s="66">
        <f>IF(AS113&lt;&gt;"Dim",IF(SUM($AM118:AS118)&gt;35,(MIN(SUM($AM118:AS118),43)-35-SUM($AM120:AR120)),0),0)</f>
        <v>0</v>
      </c>
      <c r="AT120" s="60">
        <f t="shared" si="198"/>
        <v>0</v>
      </c>
      <c r="AU120" s="60"/>
      <c r="AV120" s="66">
        <f>IF(AV113&lt;&gt;"Dim",IF(AV118&gt;35,(MIN(AV118,43)-35),0),0)</f>
        <v>0</v>
      </c>
      <c r="AW120" s="66">
        <f>IF(AW113&lt;&gt;"Dim",IF(SUM($AV118:AW118)&gt;35,(MIN(SUM($AV118:AW118),43)-35-SUM($AV120:AV120)),0),0)</f>
        <v>0</v>
      </c>
      <c r="AX120" s="60">
        <f t="shared" si="188"/>
        <v>0</v>
      </c>
      <c r="AY120" s="60">
        <f t="shared" si="200"/>
        <v>0</v>
      </c>
    </row>
    <row r="121" spans="1:58" ht="15" customHeight="1" x14ac:dyDescent="0.25">
      <c r="A121" s="21" t="s">
        <v>5</v>
      </c>
      <c r="B121" s="81"/>
      <c r="C121" s="66">
        <f>IF(C113&lt;&gt;"Dim",IF(C118&gt;43,(MIN(C118,48)-43),0),0)</f>
        <v>0</v>
      </c>
      <c r="D121" s="66">
        <f>IF(D113&lt;&gt;"Dim",IF(SUM($C118:D118)&gt;43,(MIN(SUM($C118:D118),48)-43-SUM($C121:C121)),0),0)</f>
        <v>0</v>
      </c>
      <c r="E121" s="66">
        <f>IF(E113&lt;&gt;"Dim",IF(SUM($C118:E118)&gt;43,(MIN(SUM($C118:E118),48)-43-SUM($C121:D121)),0),0)</f>
        <v>0</v>
      </c>
      <c r="F121" s="66">
        <f>IF(F113&lt;&gt;"Dim",IF(SUM($C118:F118)&gt;43,(MIN(SUM($C118:F118),48)-43-SUM($C121:E121)),0),0)</f>
        <v>0</v>
      </c>
      <c r="G121" s="66">
        <f>IF(G113&lt;&gt;"Dim",IF(SUM($C118:G118)&gt;43,(MIN(SUM($C118:G118),48)-43-SUM($C121:F121)),0),0)</f>
        <v>0</v>
      </c>
      <c r="H121" s="66">
        <f>IF(H113&lt;&gt;"Dim",IF(SUM($C118:H118)&gt;43,(MIN(SUM($C118:H118),48)-43-SUM($C121:G121)),0),0)</f>
        <v>0</v>
      </c>
      <c r="I121" s="66">
        <f>IF(I113&lt;&gt;"Dim",IF(SUM($C118:I118)&gt;43,(MIN(SUM($C118:I118),48)-43-SUM($C121:H121)),0),0)</f>
        <v>0</v>
      </c>
      <c r="J121" s="60">
        <f t="shared" si="190"/>
        <v>0</v>
      </c>
      <c r="K121" s="60"/>
      <c r="L121" s="66">
        <f>IF(L113&lt;&gt;"Dim",IF(L118&gt;43,(MIN(L118,48)-43),0),0)</f>
        <v>0</v>
      </c>
      <c r="M121" s="66">
        <f>IF(M113&lt;&gt;"Dim",IF(SUM($L118:M118)&gt;43,(MIN(SUM($L118:M118),48)-43-SUM($L121:L121)),0),0)</f>
        <v>0</v>
      </c>
      <c r="N121" s="66">
        <f>IF(N113&lt;&gt;"Dim",IF(SUM($L118:N118)&gt;43,(MIN(SUM($L118:N118),48)-43-SUM($L121:M121)),0),0)</f>
        <v>0</v>
      </c>
      <c r="O121" s="66">
        <f>IF(O113&lt;&gt;"Dim",IF(SUM($L118:O118)&gt;43,(MIN(SUM($L118:O118),48)-43-SUM($L121:N121)),0),0)</f>
        <v>0</v>
      </c>
      <c r="P121" s="66">
        <f>IF(P113&lt;&gt;"Dim",IF(SUM($L118:P118)&gt;43,(MIN(SUM($L118:P118),48)-43-SUM($L121:O121)),0),0)</f>
        <v>0</v>
      </c>
      <c r="Q121" s="66">
        <f>IF(Q113&lt;&gt;"Dim",IF(SUM($L118:Q118)&gt;43,(MIN(SUM($L118:Q118),48)-43-SUM($L121:P121)),0),0)</f>
        <v>0</v>
      </c>
      <c r="R121" s="66">
        <f>IF(R113&lt;&gt;"Dim",IF(SUM($L118:R118)&gt;43,(MIN(SUM($L118:R118),48)-43-SUM($L121:Q121)),0),0)</f>
        <v>0</v>
      </c>
      <c r="S121" s="60">
        <f t="shared" si="192"/>
        <v>0</v>
      </c>
      <c r="T121" s="60"/>
      <c r="U121" s="66">
        <f>IF(U113&lt;&gt;"Dim",IF(U118&gt;43,(MIN(U118,48)-43),0),0)</f>
        <v>0</v>
      </c>
      <c r="V121" s="66">
        <f>IF(V113&lt;&gt;"Dim",IF(SUM($U118:V118)&gt;43,(MIN(SUM($U118:V118),48)-43-SUM($U121:U121)),0),0)</f>
        <v>0</v>
      </c>
      <c r="W121" s="66">
        <f>IF(W113&lt;&gt;"Dim",IF(SUM($U118:W118)&gt;43,(MIN(SUM($U118:W118),48)-43-SUM($U121:V121)),0),0)</f>
        <v>0</v>
      </c>
      <c r="X121" s="66">
        <f>IF(X113&lt;&gt;"Dim",IF(SUM($U118:X118)&gt;43,(MIN(SUM($U118:X118),48)-43-SUM($U121:W121)),0),0)</f>
        <v>0</v>
      </c>
      <c r="Y121" s="66">
        <f>IF(Y113&lt;&gt;"Dim",IF(SUM($U118:Y118)&gt;43,(MIN(SUM($U118:Y118),48)-43-SUM($U121:X121)),0),0)</f>
        <v>0</v>
      </c>
      <c r="Z121" s="66">
        <f>IF(Z113&lt;&gt;"Dim",IF(SUM($U118:Z118)&gt;43,(MIN(SUM($U118:Z118),48)-43-SUM($U121:Y121)),0),0)</f>
        <v>0</v>
      </c>
      <c r="AA121" s="66">
        <f>IF(AA113&lt;&gt;"Dim",IF(SUM($U118:AA118)&gt;43,(MIN(SUM($U118:AA118),48)-43-SUM($U121:Z121)),0),0)</f>
        <v>0</v>
      </c>
      <c r="AB121" s="60">
        <f t="shared" si="194"/>
        <v>0</v>
      </c>
      <c r="AC121" s="60"/>
      <c r="AD121" s="66">
        <f>IF(AD113&lt;&gt;"Dim",IF(AD118&gt;43,(MIN(AD118,48)-43),0),0)</f>
        <v>0</v>
      </c>
      <c r="AE121" s="66">
        <f>IF(AE113&lt;&gt;"Dim",IF(SUM($AD118:AE118)&gt;43,(MIN(SUM($AD118:AE118),48)-43-SUM($AD121:AD121)),0),0)</f>
        <v>0</v>
      </c>
      <c r="AF121" s="66">
        <f>IF(AF113&lt;&gt;"Dim",IF(SUM($AD118:AF118)&gt;43,(MIN(SUM($AD118:AF118),48)-43-SUM($AD121:AE121)),0),0)</f>
        <v>0</v>
      </c>
      <c r="AG121" s="66">
        <f>IF(AG113&lt;&gt;"Dim",IF(SUM($AD118:AG118)&gt;43,(MIN(SUM($AD118:AG118),48)-43-SUM($AD121:AF121)),0),0)</f>
        <v>0</v>
      </c>
      <c r="AH121" s="66">
        <f>IF(AH113&lt;&gt;"Dim",IF(SUM($AD118:AH118)&gt;43,(MIN(SUM($AD118:AH118),48)-43-SUM($AD121:AG121)),0),0)</f>
        <v>0</v>
      </c>
      <c r="AI121" s="66">
        <f>IF(AI113&lt;&gt;"Dim",IF(SUM($AD118:AI118)&gt;43,(MIN(SUM($AD118:AI118),48)-43-SUM($AD121:AH121)),0),0)</f>
        <v>0</v>
      </c>
      <c r="AJ121" s="66">
        <f>IF(AJ113&lt;&gt;"Dim",IF(SUM($AD118:AJ118)&gt;43,(MIN(SUM($AD118:AJ118),48)-43-SUM($AD121:AI121)),0),0)</f>
        <v>0</v>
      </c>
      <c r="AK121" s="60">
        <f t="shared" si="196"/>
        <v>0</v>
      </c>
      <c r="AL121" s="60"/>
      <c r="AM121" s="66">
        <f>IF(AM113&lt;&gt;"Dim",IF(AM118&gt;43,(MIN(AM118,48)-43),0),0)</f>
        <v>0</v>
      </c>
      <c r="AN121" s="66">
        <f>IF(AN113&lt;&gt;"Dim",IF(SUM($AM118:AN118)&gt;43,(MIN(SUM($AM118:AN118),48)-43-SUM($AM121:AM121)),0),0)</f>
        <v>0</v>
      </c>
      <c r="AO121" s="66">
        <f>IF(AO113&lt;&gt;"Dim",IF(SUM($AM118:AO118)&gt;43,(MIN(SUM($AM118:AO118),48)-43-SUM($AM121:AN121)),0),0)</f>
        <v>0</v>
      </c>
      <c r="AP121" s="66">
        <f>IF(AP113&lt;&gt;"Dim",IF(SUM($AM118:AP118)&gt;43,(MIN(SUM($AM118:AP118),48)-43-SUM($AM121:AO121)),0),0)</f>
        <v>0</v>
      </c>
      <c r="AQ121" s="66">
        <f>IF(AQ113&lt;&gt;"Dim",IF(SUM($AM118:AQ118)&gt;43,(MIN(SUM($AM118:AQ118),48)-43-SUM($AM121:AP121)),0),0)</f>
        <v>0</v>
      </c>
      <c r="AR121" s="66">
        <f>IF(AR113&lt;&gt;"Dim",IF(SUM($AM118:AR118)&gt;43,(MIN(SUM($AM118:AR118),48)-43-SUM($AM121:AQ121)),0),0)</f>
        <v>0</v>
      </c>
      <c r="AS121" s="66">
        <f>IF(AS113&lt;&gt;"Dim",IF(SUM($AM118:AS118)&gt;43,(MIN(SUM($AM118:AS118),48)-43-SUM($AM121:AR121)),0),0)</f>
        <v>0</v>
      </c>
      <c r="AT121" s="60">
        <f t="shared" si="198"/>
        <v>0</v>
      </c>
      <c r="AU121" s="60"/>
      <c r="AV121" s="66">
        <f>IF(AV113&lt;&gt;"Dim",IF(AV118&gt;43,(MIN(AV118,48)-43),0),0)</f>
        <v>0</v>
      </c>
      <c r="AW121" s="66">
        <f>IF(AW113&lt;&gt;"Dim",IF(SUM($AV118:AW118)&gt;43,(MIN(SUM($AV118:AW118),48)-43-SUM($AV121:AV121)),0),0)</f>
        <v>0</v>
      </c>
      <c r="AX121" s="60">
        <f t="shared" si="188"/>
        <v>0</v>
      </c>
      <c r="AY121" s="60">
        <f t="shared" si="200"/>
        <v>0</v>
      </c>
    </row>
    <row r="122" spans="1:58" ht="15" customHeight="1" x14ac:dyDescent="0.25">
      <c r="A122" s="21" t="s">
        <v>7</v>
      </c>
      <c r="B122" s="81"/>
      <c r="C122" s="66">
        <f>IF(C113="Dim",C118,IF(C128="ferie",C118,0))</f>
        <v>0</v>
      </c>
      <c r="D122" s="66">
        <f t="shared" ref="D122:I122" si="201">IF(D113="Dim",D118,IF(D128="ferie",D118,0))</f>
        <v>0</v>
      </c>
      <c r="E122" s="66">
        <f t="shared" si="201"/>
        <v>0</v>
      </c>
      <c r="F122" s="66">
        <f t="shared" si="201"/>
        <v>0</v>
      </c>
      <c r="G122" s="66">
        <f t="shared" si="201"/>
        <v>0</v>
      </c>
      <c r="H122" s="66">
        <f t="shared" si="201"/>
        <v>0</v>
      </c>
      <c r="I122" s="66">
        <f t="shared" si="201"/>
        <v>0</v>
      </c>
      <c r="J122" s="60">
        <f t="shared" si="190"/>
        <v>0</v>
      </c>
      <c r="K122" s="60"/>
      <c r="L122" s="66">
        <f>IF(L113="Dim",L118,IF(L128="ferie",L118,0))</f>
        <v>0</v>
      </c>
      <c r="M122" s="66">
        <f t="shared" ref="M122:R122" si="202">IF(M113="Dim",M118,IF(M128="ferie",M118,0))</f>
        <v>0</v>
      </c>
      <c r="N122" s="66">
        <f t="shared" si="202"/>
        <v>0</v>
      </c>
      <c r="O122" s="66">
        <f t="shared" si="202"/>
        <v>0</v>
      </c>
      <c r="P122" s="66">
        <f t="shared" si="202"/>
        <v>0</v>
      </c>
      <c r="Q122" s="66">
        <f>IF(Q113="Dim",Q118,IF(Q128="ferie",Q118,0))</f>
        <v>0</v>
      </c>
      <c r="R122" s="66">
        <f t="shared" si="202"/>
        <v>0</v>
      </c>
      <c r="S122" s="60">
        <f t="shared" si="192"/>
        <v>0</v>
      </c>
      <c r="T122" s="60"/>
      <c r="U122" s="66">
        <f>IF(U113="Dim",U118,IF(U128="ferie",U118,0))</f>
        <v>0</v>
      </c>
      <c r="V122" s="66">
        <f t="shared" ref="V122:AA122" si="203">IF(V113="Dim",V118,IF(V128="ferie",V118,0))</f>
        <v>0</v>
      </c>
      <c r="W122" s="66">
        <f t="shared" si="203"/>
        <v>0</v>
      </c>
      <c r="X122" s="66">
        <f t="shared" si="203"/>
        <v>0</v>
      </c>
      <c r="Y122" s="66">
        <f t="shared" si="203"/>
        <v>0</v>
      </c>
      <c r="Z122" s="66">
        <f t="shared" si="203"/>
        <v>0</v>
      </c>
      <c r="AA122" s="66">
        <f t="shared" si="203"/>
        <v>0</v>
      </c>
      <c r="AB122" s="60">
        <f t="shared" si="194"/>
        <v>0</v>
      </c>
      <c r="AC122" s="60"/>
      <c r="AD122" s="66">
        <f>IF(AD113="Dim",AD118,IF(AD128="ferie",AD118,0))</f>
        <v>0</v>
      </c>
      <c r="AE122" s="66">
        <f t="shared" ref="AE122:AJ122" si="204">IF(AE113="Dim",AE118,IF(AE128="ferie",AE118,0))</f>
        <v>0</v>
      </c>
      <c r="AF122" s="66">
        <f t="shared" si="204"/>
        <v>0</v>
      </c>
      <c r="AG122" s="66">
        <f t="shared" si="204"/>
        <v>0</v>
      </c>
      <c r="AH122" s="66">
        <f t="shared" si="204"/>
        <v>0</v>
      </c>
      <c r="AI122" s="66">
        <f t="shared" si="204"/>
        <v>0</v>
      </c>
      <c r="AJ122" s="66">
        <f t="shared" si="204"/>
        <v>0</v>
      </c>
      <c r="AK122" s="60">
        <f t="shared" si="196"/>
        <v>0</v>
      </c>
      <c r="AL122" s="60"/>
      <c r="AM122" s="66">
        <f>IF(AM113="Dim",AM118,IF(AM128="ferie",AM118,0))</f>
        <v>0</v>
      </c>
      <c r="AN122" s="66">
        <f t="shared" ref="AN122:AW122" si="205">IF(AN113="Dim",AN118,IF(AN128="ferie",AN118,0))</f>
        <v>0</v>
      </c>
      <c r="AO122" s="66">
        <f t="shared" si="205"/>
        <v>0</v>
      </c>
      <c r="AP122" s="66">
        <f t="shared" si="205"/>
        <v>0</v>
      </c>
      <c r="AQ122" s="66">
        <f t="shared" si="205"/>
        <v>0</v>
      </c>
      <c r="AR122" s="66">
        <f t="shared" si="205"/>
        <v>0</v>
      </c>
      <c r="AS122" s="66">
        <f t="shared" si="205"/>
        <v>0</v>
      </c>
      <c r="AT122" s="60">
        <f>SUM(AM122:AS122)</f>
        <v>0</v>
      </c>
      <c r="AU122" s="60"/>
      <c r="AV122" s="66">
        <f>IF(AV113="Dim",AV118,IF(AV128="ferie",AV118,0))</f>
        <v>0</v>
      </c>
      <c r="AW122" s="66">
        <f t="shared" si="205"/>
        <v>0</v>
      </c>
      <c r="AX122" s="60">
        <f t="shared" si="188"/>
        <v>0</v>
      </c>
      <c r="AY122" s="60">
        <f t="shared" si="200"/>
        <v>0</v>
      </c>
    </row>
    <row r="123" spans="1:58" ht="15" customHeight="1" x14ac:dyDescent="0.25">
      <c r="A123" s="21" t="s">
        <v>8</v>
      </c>
      <c r="B123" s="81"/>
      <c r="C123" s="31"/>
      <c r="D123" s="31"/>
      <c r="E123" s="31"/>
      <c r="F123" s="31"/>
      <c r="G123" s="31"/>
      <c r="H123" s="31"/>
      <c r="I123" s="31"/>
      <c r="J123" s="60">
        <f t="shared" si="190"/>
        <v>0</v>
      </c>
      <c r="K123" s="60"/>
      <c r="L123" s="31"/>
      <c r="M123" s="31"/>
      <c r="N123" s="31"/>
      <c r="O123" s="31"/>
      <c r="P123" s="31"/>
      <c r="Q123" s="31"/>
      <c r="R123" s="31"/>
      <c r="S123" s="60">
        <f t="shared" si="192"/>
        <v>0</v>
      </c>
      <c r="T123" s="60"/>
      <c r="U123" s="31"/>
      <c r="V123" s="31"/>
      <c r="W123" s="31"/>
      <c r="X123" s="31"/>
      <c r="Y123" s="31"/>
      <c r="Z123" s="31"/>
      <c r="AA123" s="31"/>
      <c r="AB123" s="60">
        <f t="shared" si="194"/>
        <v>0</v>
      </c>
      <c r="AC123" s="60"/>
      <c r="AD123" s="31"/>
      <c r="AE123" s="31"/>
      <c r="AF123" s="31"/>
      <c r="AG123" s="31"/>
      <c r="AH123" s="31"/>
      <c r="AI123" s="31"/>
      <c r="AJ123" s="31"/>
      <c r="AK123" s="60">
        <f t="shared" si="196"/>
        <v>0</v>
      </c>
      <c r="AL123" s="60"/>
      <c r="AM123" s="31"/>
      <c r="AN123" s="31"/>
      <c r="AO123" s="31"/>
      <c r="AP123" s="31"/>
      <c r="AQ123" s="31"/>
      <c r="AR123" s="31"/>
      <c r="AS123" s="31"/>
      <c r="AT123" s="60">
        <f t="shared" si="198"/>
        <v>0</v>
      </c>
      <c r="AU123" s="60"/>
      <c r="AV123" s="31"/>
      <c r="AW123" s="31"/>
      <c r="AX123" s="60">
        <f t="shared" si="188"/>
        <v>0</v>
      </c>
      <c r="AY123" s="60">
        <f t="shared" si="200"/>
        <v>0</v>
      </c>
    </row>
    <row r="124" spans="1:58" ht="15" customHeight="1" x14ac:dyDescent="0.25">
      <c r="A124" s="36" t="s">
        <v>9</v>
      </c>
      <c r="B124" s="82"/>
      <c r="C124" s="31"/>
      <c r="D124" s="31"/>
      <c r="E124" s="31"/>
      <c r="F124" s="31"/>
      <c r="G124" s="31"/>
      <c r="H124" s="31"/>
      <c r="I124" s="31"/>
      <c r="J124" s="60">
        <f t="shared" si="190"/>
        <v>0</v>
      </c>
      <c r="K124" s="60"/>
      <c r="L124" s="31"/>
      <c r="M124" s="31"/>
      <c r="N124" s="31"/>
      <c r="O124" s="31"/>
      <c r="P124" s="31"/>
      <c r="Q124" s="31"/>
      <c r="R124" s="31"/>
      <c r="S124" s="60">
        <f t="shared" si="192"/>
        <v>0</v>
      </c>
      <c r="T124" s="60"/>
      <c r="U124" s="31"/>
      <c r="V124" s="31"/>
      <c r="W124" s="31"/>
      <c r="X124" s="31"/>
      <c r="Y124" s="31"/>
      <c r="Z124" s="31"/>
      <c r="AA124" s="31"/>
      <c r="AB124" s="60">
        <f t="shared" si="194"/>
        <v>0</v>
      </c>
      <c r="AC124" s="60"/>
      <c r="AD124" s="31"/>
      <c r="AE124" s="31"/>
      <c r="AF124" s="31"/>
      <c r="AG124" s="31"/>
      <c r="AH124" s="31"/>
      <c r="AI124" s="31"/>
      <c r="AJ124" s="31"/>
      <c r="AK124" s="60">
        <f t="shared" si="196"/>
        <v>0</v>
      </c>
      <c r="AL124" s="60"/>
      <c r="AM124" s="31"/>
      <c r="AN124" s="31"/>
      <c r="AO124" s="31"/>
      <c r="AP124" s="31"/>
      <c r="AQ124" s="31"/>
      <c r="AR124" s="31"/>
      <c r="AS124" s="31"/>
      <c r="AT124" s="60">
        <f t="shared" si="198"/>
        <v>0</v>
      </c>
      <c r="AU124" s="60"/>
      <c r="AV124" s="31"/>
      <c r="AW124" s="31"/>
      <c r="AX124" s="60">
        <f t="shared" ref="AX124:AX126" si="206">SUM(AV124:AW124)</f>
        <v>0</v>
      </c>
      <c r="AY124" s="60">
        <f t="shared" si="200"/>
        <v>0</v>
      </c>
    </row>
    <row r="125" spans="1:58" ht="15" customHeight="1" x14ac:dyDescent="0.25">
      <c r="A125" s="21" t="s">
        <v>11</v>
      </c>
      <c r="B125" s="81"/>
      <c r="C125" s="31"/>
      <c r="D125" s="31"/>
      <c r="E125" s="31"/>
      <c r="F125" s="31"/>
      <c r="G125" s="31"/>
      <c r="H125" s="31"/>
      <c r="I125" s="31"/>
      <c r="J125" s="60">
        <f t="shared" si="190"/>
        <v>0</v>
      </c>
      <c r="K125" s="60"/>
      <c r="L125" s="31"/>
      <c r="M125" s="31"/>
      <c r="N125" s="31"/>
      <c r="O125" s="31"/>
      <c r="P125" s="31"/>
      <c r="Q125" s="31"/>
      <c r="R125" s="31"/>
      <c r="S125" s="60">
        <f t="shared" si="192"/>
        <v>0</v>
      </c>
      <c r="T125" s="60"/>
      <c r="U125" s="31"/>
      <c r="V125" s="31"/>
      <c r="W125" s="31"/>
      <c r="X125" s="31"/>
      <c r="Y125" s="31"/>
      <c r="Z125" s="31"/>
      <c r="AA125" s="31"/>
      <c r="AB125" s="60">
        <f t="shared" si="194"/>
        <v>0</v>
      </c>
      <c r="AC125" s="60"/>
      <c r="AD125" s="31"/>
      <c r="AE125" s="31"/>
      <c r="AF125" s="31"/>
      <c r="AG125" s="31"/>
      <c r="AH125" s="31"/>
      <c r="AI125" s="31"/>
      <c r="AJ125" s="31"/>
      <c r="AK125" s="60">
        <f t="shared" si="196"/>
        <v>0</v>
      </c>
      <c r="AL125" s="60"/>
      <c r="AM125" s="31"/>
      <c r="AN125" s="31"/>
      <c r="AO125" s="31"/>
      <c r="AP125" s="31"/>
      <c r="AQ125" s="31"/>
      <c r="AR125" s="31"/>
      <c r="AS125" s="31"/>
      <c r="AT125" s="60">
        <f t="shared" si="198"/>
        <v>0</v>
      </c>
      <c r="AU125" s="60"/>
      <c r="AV125" s="31"/>
      <c r="AW125" s="31"/>
      <c r="AX125" s="60">
        <f t="shared" si="206"/>
        <v>0</v>
      </c>
      <c r="AY125" s="60">
        <f t="shared" si="200"/>
        <v>0</v>
      </c>
    </row>
    <row r="126" spans="1:58" ht="15" customHeight="1" x14ac:dyDescent="0.25">
      <c r="A126" s="36" t="s">
        <v>10</v>
      </c>
      <c r="B126" s="82"/>
      <c r="C126" s="31"/>
      <c r="D126" s="31"/>
      <c r="E126" s="31"/>
      <c r="F126" s="31"/>
      <c r="G126" s="31"/>
      <c r="H126" s="31"/>
      <c r="I126" s="31"/>
      <c r="J126" s="60">
        <f t="shared" si="190"/>
        <v>0</v>
      </c>
      <c r="K126" s="60"/>
      <c r="L126" s="31"/>
      <c r="M126" s="31"/>
      <c r="N126" s="31"/>
      <c r="O126" s="31"/>
      <c r="P126" s="31"/>
      <c r="Q126" s="31"/>
      <c r="R126" s="31"/>
      <c r="S126" s="60">
        <f t="shared" si="192"/>
        <v>0</v>
      </c>
      <c r="T126" s="60"/>
      <c r="U126" s="31"/>
      <c r="V126" s="31"/>
      <c r="W126" s="31"/>
      <c r="X126" s="31"/>
      <c r="Y126" s="31"/>
      <c r="Z126" s="31"/>
      <c r="AA126" s="31"/>
      <c r="AB126" s="60">
        <f t="shared" si="194"/>
        <v>0</v>
      </c>
      <c r="AC126" s="60"/>
      <c r="AD126" s="31"/>
      <c r="AE126" s="31"/>
      <c r="AF126" s="31"/>
      <c r="AG126" s="31"/>
      <c r="AH126" s="31"/>
      <c r="AI126" s="31"/>
      <c r="AJ126" s="31"/>
      <c r="AK126" s="60">
        <f t="shared" si="196"/>
        <v>0</v>
      </c>
      <c r="AL126" s="60"/>
      <c r="AM126" s="31"/>
      <c r="AN126" s="31"/>
      <c r="AO126" s="31"/>
      <c r="AP126" s="31"/>
      <c r="AQ126" s="31"/>
      <c r="AR126" s="31"/>
      <c r="AS126" s="31"/>
      <c r="AT126" s="60">
        <f t="shared" si="198"/>
        <v>0</v>
      </c>
      <c r="AU126" s="60"/>
      <c r="AV126" s="31"/>
      <c r="AW126" s="31"/>
      <c r="AX126" s="60">
        <f t="shared" si="206"/>
        <v>0</v>
      </c>
      <c r="AY126" s="60">
        <f t="shared" si="200"/>
        <v>0</v>
      </c>
    </row>
    <row r="127" spans="1:58" s="33" customFormat="1" ht="15" customHeight="1" x14ac:dyDescent="0.25">
      <c r="A127" s="36" t="s">
        <v>44</v>
      </c>
      <c r="B127" s="82"/>
      <c r="C127" s="60">
        <f>IF(C115="nuit",C118*0.02,0)</f>
        <v>0</v>
      </c>
      <c r="D127" s="60">
        <f>IF(D115="nuit",D118*0.02,0)</f>
        <v>0</v>
      </c>
      <c r="E127" s="60">
        <f t="shared" ref="E127:I127" si="207">IF(E115="nuit",E118*0.02,0)</f>
        <v>0</v>
      </c>
      <c r="F127" s="60">
        <f t="shared" si="207"/>
        <v>0</v>
      </c>
      <c r="G127" s="60">
        <f>IF(G115="nuit",G118*0.02,0)</f>
        <v>0</v>
      </c>
      <c r="H127" s="60">
        <f t="shared" si="207"/>
        <v>0</v>
      </c>
      <c r="I127" s="60">
        <f t="shared" si="207"/>
        <v>0</v>
      </c>
      <c r="J127" s="60">
        <f t="shared" si="190"/>
        <v>0</v>
      </c>
      <c r="K127" s="60"/>
      <c r="L127" s="60">
        <f>IF(L115="nuit",L118*0.02,0)</f>
        <v>0</v>
      </c>
      <c r="M127" s="60">
        <f>IF(M115="nuit",M118*0.02,0)</f>
        <v>0</v>
      </c>
      <c r="N127" s="60">
        <f t="shared" ref="N127:R127" si="208">IF(N115="nuit",N118*0.02,0)</f>
        <v>0</v>
      </c>
      <c r="O127" s="60">
        <f t="shared" si="208"/>
        <v>0</v>
      </c>
      <c r="P127" s="60">
        <f>IF(P115="nuit",P118*0.02,0)</f>
        <v>0</v>
      </c>
      <c r="Q127" s="60">
        <f t="shared" si="208"/>
        <v>0</v>
      </c>
      <c r="R127" s="60">
        <f t="shared" si="208"/>
        <v>0</v>
      </c>
      <c r="S127" s="60">
        <f t="shared" si="192"/>
        <v>0</v>
      </c>
      <c r="T127" s="60"/>
      <c r="U127" s="60">
        <f>IF(U115="nuit",U118*0.02,0)</f>
        <v>0</v>
      </c>
      <c r="V127" s="60">
        <f>IF(V115="nuit",V118*0.02,0)</f>
        <v>0</v>
      </c>
      <c r="W127" s="60">
        <f t="shared" ref="W127:AA127" si="209">IF(W115="nuit",W118*0.02,0)</f>
        <v>0</v>
      </c>
      <c r="X127" s="60">
        <f t="shared" si="209"/>
        <v>0</v>
      </c>
      <c r="Y127" s="60">
        <f>IF(Y115="nuit",Y118*0.02,0)</f>
        <v>0</v>
      </c>
      <c r="Z127" s="60">
        <f t="shared" si="209"/>
        <v>0</v>
      </c>
      <c r="AA127" s="60">
        <f t="shared" si="209"/>
        <v>0</v>
      </c>
      <c r="AB127" s="60">
        <f t="shared" si="194"/>
        <v>0</v>
      </c>
      <c r="AC127" s="60"/>
      <c r="AD127" s="60">
        <f>IF(AD115="nuit",AD118*0.02,0)</f>
        <v>0</v>
      </c>
      <c r="AE127" s="60">
        <f>IF(AE115="nuit",AE118*0.02,0)</f>
        <v>0</v>
      </c>
      <c r="AF127" s="60">
        <f t="shared" ref="AF127:AJ127" si="210">IF(AF115="nuit",AF118*0.02,0)</f>
        <v>0</v>
      </c>
      <c r="AG127" s="60">
        <f t="shared" si="210"/>
        <v>0</v>
      </c>
      <c r="AH127" s="60">
        <f>IF(AH115="nuit",AH118*0.02,0)</f>
        <v>0</v>
      </c>
      <c r="AI127" s="60">
        <f t="shared" si="210"/>
        <v>0</v>
      </c>
      <c r="AJ127" s="60">
        <f t="shared" si="210"/>
        <v>0</v>
      </c>
      <c r="AK127" s="60">
        <f t="shared" si="196"/>
        <v>0</v>
      </c>
      <c r="AL127" s="60"/>
      <c r="AM127" s="60">
        <f>IF(AM115="nuit",AM118*0.02,0)</f>
        <v>0</v>
      </c>
      <c r="AN127" s="60">
        <f>IF(AN115="nuit",AN118*0.02,0)</f>
        <v>0</v>
      </c>
      <c r="AO127" s="60">
        <f t="shared" ref="AO127:AS127" si="211">IF(AO115="nuit",AO118*0.02,0)</f>
        <v>0</v>
      </c>
      <c r="AP127" s="60">
        <f t="shared" si="211"/>
        <v>0</v>
      </c>
      <c r="AQ127" s="60">
        <f>IF(AQ115="nuit",AQ118*0.02,0)</f>
        <v>0</v>
      </c>
      <c r="AR127" s="60">
        <f t="shared" si="211"/>
        <v>0</v>
      </c>
      <c r="AS127" s="60">
        <f t="shared" si="211"/>
        <v>0</v>
      </c>
      <c r="AT127" s="60">
        <f t="shared" si="198"/>
        <v>0</v>
      </c>
      <c r="AU127" s="60"/>
      <c r="AV127" s="60">
        <f>IF(AV115="nuit",AV118*0.02,0)</f>
        <v>0</v>
      </c>
      <c r="AW127" s="60">
        <f>IF(AW115="nuit",AW118*0.02,0)</f>
        <v>0</v>
      </c>
      <c r="AX127" s="60">
        <f>SUM(AV127:AW127)</f>
        <v>0</v>
      </c>
      <c r="AY127" s="60">
        <f>J127+S127+AB127+AK127+AT127+AX127</f>
        <v>0</v>
      </c>
      <c r="AZ127" s="52"/>
      <c r="BA127" s="52"/>
      <c r="BB127" s="52"/>
      <c r="BC127" s="52"/>
      <c r="BD127" s="52"/>
      <c r="BE127" s="52"/>
      <c r="BF127" s="35"/>
    </row>
    <row r="128" spans="1:58" ht="15" customHeight="1" x14ac:dyDescent="0.25">
      <c r="A128" s="21" t="s">
        <v>31</v>
      </c>
      <c r="B128" s="81"/>
      <c r="C128" s="31"/>
      <c r="D128" s="31"/>
      <c r="E128" s="31"/>
      <c r="F128" s="31"/>
      <c r="G128" s="31"/>
      <c r="H128" s="37"/>
      <c r="I128" s="37"/>
      <c r="J128" s="64"/>
      <c r="K128" s="64"/>
      <c r="L128" s="37"/>
      <c r="M128" s="37"/>
      <c r="N128" s="37"/>
      <c r="O128" s="37"/>
      <c r="P128" s="37"/>
      <c r="Q128" s="37"/>
      <c r="R128" s="37"/>
      <c r="S128" s="64"/>
      <c r="T128" s="64"/>
      <c r="U128" s="37"/>
      <c r="V128" s="37"/>
      <c r="W128" s="37"/>
      <c r="X128" s="37"/>
      <c r="Y128" s="37"/>
      <c r="Z128" s="37"/>
      <c r="AA128" s="37"/>
      <c r="AB128" s="64"/>
      <c r="AC128" s="64"/>
      <c r="AD128" s="37"/>
      <c r="AE128" s="37"/>
      <c r="AF128" s="37"/>
      <c r="AG128" s="37"/>
      <c r="AH128" s="37"/>
      <c r="AI128" s="37"/>
      <c r="AJ128" s="37"/>
      <c r="AK128" s="64"/>
      <c r="AL128" s="64"/>
      <c r="AM128" s="37"/>
      <c r="AN128" s="37"/>
      <c r="AO128" s="37"/>
      <c r="AP128" s="37"/>
      <c r="AQ128" s="37"/>
      <c r="AR128" s="37"/>
      <c r="AS128" s="37"/>
      <c r="AT128" s="64"/>
      <c r="AU128" s="64"/>
      <c r="AV128" s="37"/>
      <c r="AW128" s="37"/>
      <c r="AX128" s="64"/>
      <c r="AY128" s="65"/>
    </row>
    <row r="129" spans="1:53" ht="15" customHeight="1" x14ac:dyDescent="0.25">
      <c r="A129" s="38"/>
      <c r="B129" s="38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69"/>
    </row>
    <row r="130" spans="1:53" ht="27.6" x14ac:dyDescent="0.25">
      <c r="A130" s="21"/>
      <c r="B130" s="21"/>
      <c r="C130" s="24" t="s">
        <v>26</v>
      </c>
      <c r="D130" s="24"/>
      <c r="E130" s="24"/>
      <c r="F130" s="24"/>
      <c r="G130" s="24"/>
      <c r="H130" s="95">
        <f>Année_Calendaire</f>
        <v>2016</v>
      </c>
      <c r="I130" s="95"/>
      <c r="J130" s="88"/>
      <c r="K130" s="88"/>
      <c r="L130" s="31"/>
      <c r="M130" s="31"/>
      <c r="N130" s="31"/>
      <c r="O130" s="31"/>
      <c r="P130" s="31"/>
      <c r="Q130" s="31"/>
      <c r="R130" s="31"/>
      <c r="S130" s="88"/>
      <c r="T130" s="88"/>
      <c r="U130" s="24" t="s">
        <v>26</v>
      </c>
      <c r="V130" s="24"/>
      <c r="W130" s="24"/>
      <c r="X130" s="24"/>
      <c r="Y130" s="24"/>
      <c r="Z130" s="95">
        <f>Année_Calendaire</f>
        <v>2016</v>
      </c>
      <c r="AA130" s="95"/>
      <c r="AB130" s="88"/>
      <c r="AC130" s="88"/>
      <c r="AD130" s="31"/>
      <c r="AE130" s="31"/>
      <c r="AF130" s="31"/>
      <c r="AG130" s="31"/>
      <c r="AH130" s="31"/>
      <c r="AI130" s="31"/>
      <c r="AJ130" s="31"/>
      <c r="AK130" s="88"/>
      <c r="AL130" s="88"/>
      <c r="AM130" s="24" t="s">
        <v>26</v>
      </c>
      <c r="AN130" s="24"/>
      <c r="AO130" s="24"/>
      <c r="AP130" s="24"/>
      <c r="AQ130" s="24"/>
      <c r="AR130" s="95">
        <f>Année_Calendaire</f>
        <v>2016</v>
      </c>
      <c r="AS130" s="95"/>
      <c r="AT130" s="88"/>
      <c r="AU130" s="88"/>
      <c r="AV130" s="31"/>
      <c r="AW130" s="31"/>
      <c r="AX130" s="88"/>
    </row>
    <row r="131" spans="1:53" ht="29.25" customHeight="1" x14ac:dyDescent="0.25">
      <c r="A131" s="31"/>
      <c r="B131" s="60"/>
      <c r="C131" s="62" t="s">
        <v>13</v>
      </c>
      <c r="D131" s="62" t="s">
        <v>14</v>
      </c>
      <c r="E131" s="62" t="s">
        <v>15</v>
      </c>
      <c r="F131" s="62" t="s">
        <v>16</v>
      </c>
      <c r="G131" s="62" t="s">
        <v>17</v>
      </c>
      <c r="H131" s="62" t="s">
        <v>18</v>
      </c>
      <c r="I131" s="62" t="s">
        <v>19</v>
      </c>
      <c r="J131" s="96" t="s">
        <v>32</v>
      </c>
      <c r="K131" s="87"/>
      <c r="L131" s="62" t="s">
        <v>13</v>
      </c>
      <c r="M131" s="62" t="s">
        <v>14</v>
      </c>
      <c r="N131" s="62" t="s">
        <v>15</v>
      </c>
      <c r="O131" s="62" t="s">
        <v>16</v>
      </c>
      <c r="P131" s="62" t="s">
        <v>17</v>
      </c>
      <c r="Q131" s="62" t="s">
        <v>18</v>
      </c>
      <c r="R131" s="62" t="s">
        <v>19</v>
      </c>
      <c r="S131" s="96" t="s">
        <v>32</v>
      </c>
      <c r="T131" s="87"/>
      <c r="U131" s="62" t="s">
        <v>13</v>
      </c>
      <c r="V131" s="62" t="s">
        <v>14</v>
      </c>
      <c r="W131" s="62" t="s">
        <v>15</v>
      </c>
      <c r="X131" s="62" t="s">
        <v>16</v>
      </c>
      <c r="Y131" s="62" t="s">
        <v>17</v>
      </c>
      <c r="Z131" s="62" t="s">
        <v>18</v>
      </c>
      <c r="AA131" s="62" t="s">
        <v>19</v>
      </c>
      <c r="AB131" s="96" t="s">
        <v>32</v>
      </c>
      <c r="AC131" s="87"/>
      <c r="AD131" s="62" t="s">
        <v>13</v>
      </c>
      <c r="AE131" s="62" t="s">
        <v>14</v>
      </c>
      <c r="AF131" s="62" t="s">
        <v>15</v>
      </c>
      <c r="AG131" s="62" t="s">
        <v>16</v>
      </c>
      <c r="AH131" s="62" t="s">
        <v>17</v>
      </c>
      <c r="AI131" s="62" t="s">
        <v>18</v>
      </c>
      <c r="AJ131" s="62" t="s">
        <v>19</v>
      </c>
      <c r="AK131" s="96" t="s">
        <v>32</v>
      </c>
      <c r="AL131" s="87"/>
      <c r="AM131" s="62" t="s">
        <v>13</v>
      </c>
      <c r="AN131" s="62" t="s">
        <v>14</v>
      </c>
      <c r="AO131" s="62" t="s">
        <v>15</v>
      </c>
      <c r="AP131" s="62" t="s">
        <v>16</v>
      </c>
      <c r="AQ131" s="62" t="s">
        <v>17</v>
      </c>
      <c r="AR131" s="62" t="s">
        <v>18</v>
      </c>
      <c r="AS131" s="62" t="s">
        <v>19</v>
      </c>
      <c r="AT131" s="96" t="s">
        <v>32</v>
      </c>
      <c r="AU131" s="87"/>
      <c r="AV131" s="62" t="s">
        <v>13</v>
      </c>
      <c r="AW131" s="62" t="s">
        <v>14</v>
      </c>
      <c r="AX131" s="96" t="s">
        <v>32</v>
      </c>
      <c r="AY131" s="96" t="s">
        <v>35</v>
      </c>
      <c r="AZ131" s="97">
        <f>AY138+AY139+AY140</f>
        <v>0</v>
      </c>
      <c r="BA131" s="97">
        <f>AZ131+BA113</f>
        <v>15</v>
      </c>
    </row>
    <row r="132" spans="1:53" ht="15" customHeight="1" x14ac:dyDescent="0.25">
      <c r="A132" s="48"/>
      <c r="B132" s="83"/>
      <c r="C132" s="67">
        <f>IF(DAY(Aoû_Dim1)=1,"",IF(AND(YEAR(Aoû_Dim1+1)=Année_Calendaire,MONTH(Aoû_Dim1+1)=8),Aoû_Dim1+1,""))</f>
        <v>42583</v>
      </c>
      <c r="D132" s="67">
        <f>IF(DAY(Aoû_Dim1)=1,"",IF(AND(YEAR(Aoû_Dim1+2)=Année_Calendaire,MONTH(Aoû_Dim1+2)=8),Aoû_Dim1+2,""))</f>
        <v>42584</v>
      </c>
      <c r="E132" s="67">
        <f>IF(DAY(Aoû_Dim1)=1,"",IF(AND(YEAR(Aoû_Dim1+3)=Année_Calendaire,MONTH(Aoû_Dim1+3)=8),Aoû_Dim1+3,""))</f>
        <v>42585</v>
      </c>
      <c r="F132" s="67">
        <f>IF(DAY(Aoû_Dim1)=1,"",IF(AND(YEAR(Aoû_Dim1+4)=Année_Calendaire,MONTH(Aoû_Dim1+4)=8),Aoû_Dim1+4,""))</f>
        <v>42586</v>
      </c>
      <c r="G132" s="67">
        <f>IF(DAY(Aoû_Dim1)=1,"",IF(AND(YEAR(Aoû_Dim1+5)=Année_Calendaire,MONTH(Aoû_Dim1+5)=8),Aoû_Dim1+5,""))</f>
        <v>42587</v>
      </c>
      <c r="H132" s="67">
        <f>IF(DAY(Aoû_Dim1)=1,"",IF(AND(YEAR(Aoû_Dim1+6)=Année_Calendaire,MONTH(Aoû_Dim1+6)=8),Aoû_Dim1+6,""))</f>
        <v>42588</v>
      </c>
      <c r="I132" s="67">
        <f>IF(DAY(Aoû_Dim1)=1,IF(AND(YEAR(Aoû_Dim1)=Année_Calendaire,MONTH(Aoû_Dim1)=8),Aoû_Dim1,""),IF(AND(YEAR(Aoû_Dim1+7)=Année_Calendaire,MONTH(Aoû_Dim1+7)=8),Aoû_Dim1+7,""))</f>
        <v>42589</v>
      </c>
      <c r="J132" s="96"/>
      <c r="K132" s="87"/>
      <c r="L132" s="67">
        <f>IF(DAY(Aoû_Dim1)=1,IF(AND(YEAR(Aoû_Dim1+1)=Année_Calendaire,MONTH(Aoû_Dim1+1)=8),Aoû_Dim1+1,""),IF(AND(YEAR(Aoû_Dim1+8)=Année_Calendaire,MONTH(Aoû_Dim1+8)=8),Aoû_Dim1+8,""))</f>
        <v>42590</v>
      </c>
      <c r="M132" s="67">
        <f>IF(DAY(Aoû_Dim1)=1,IF(AND(YEAR(Aoû_Dim1+2)=Année_Calendaire,MONTH(Aoû_Dim1+2)=8),Aoû_Dim1+2,""),IF(AND(YEAR(Aoû_Dim1+9)=Année_Calendaire,MONTH(Aoû_Dim1+9)=8),Aoû_Dim1+9,""))</f>
        <v>42591</v>
      </c>
      <c r="N132" s="67">
        <f>IF(DAY(Aoû_Dim1)=1,IF(AND(YEAR(Aoû_Dim1+3)=Année_Calendaire,MONTH(Aoû_Dim1+3)=8),Aoû_Dim1+3,""),IF(AND(YEAR(Aoû_Dim1+10)=Année_Calendaire,MONTH(Aoû_Dim1+10)=8),Aoû_Dim1+10,""))</f>
        <v>42592</v>
      </c>
      <c r="O132" s="67">
        <f>IF(DAY(Aoû_Dim1)=1,IF(AND(YEAR(Aoû_Dim1+4)=Année_Calendaire,MONTH(Aoû_Dim1+4)=8),Aoû_Dim1+4,""),IF(AND(YEAR(Aoû_Dim1+11)=Année_Calendaire,MONTH(Aoû_Dim1+11)=8),Aoû_Dim1+11,""))</f>
        <v>42593</v>
      </c>
      <c r="P132" s="67">
        <f>IF(DAY(Aoû_Dim1)=1,IF(AND(YEAR(Aoû_Dim1+5)=Année_Calendaire,MONTH(Aoû_Dim1+5)=8),Aoû_Dim1+5,""),IF(AND(YEAR(Aoû_Dim1+12)=Année_Calendaire,MONTH(Aoû_Dim1+12)=8),Aoû_Dim1+12,""))</f>
        <v>42594</v>
      </c>
      <c r="Q132" s="67">
        <f>IF(DAY(Aoû_Dim1)=1,IF(AND(YEAR(Aoû_Dim1+6)=Année_Calendaire,MONTH(Aoû_Dim1+6)=8),Aoû_Dim1+6,""),IF(AND(YEAR(Aoû_Dim1+13)=Année_Calendaire,MONTH(Aoû_Dim1+13)=8),Aoû_Dim1+13,""))</f>
        <v>42595</v>
      </c>
      <c r="R132" s="67">
        <f>IF(DAY(Aoû_Dim1)=1,IF(AND(YEAR(Aoû_Dim1+7)=Année_Calendaire,MONTH(Aoû_Dim1+7)=8),Aoû_Dim1+7,""),IF(AND(YEAR(Aoû_Dim1+14)=Année_Calendaire,MONTH(Aoû_Dim1+14)=8),Aoû_Dim1+14,""))</f>
        <v>42596</v>
      </c>
      <c r="S132" s="96"/>
      <c r="T132" s="87"/>
      <c r="U132" s="67">
        <f>IF(DAY(Aoû_Dim1)=1,IF(AND(YEAR(Aoû_Dim1+8)=Année_Calendaire,MONTH(Aoû_Dim1+8)=8),Aoû_Dim1+8,""),IF(AND(YEAR(Aoû_Dim1+15)=Année_Calendaire,MONTH(Aoû_Dim1+15)=8),Aoû_Dim1+15,""))</f>
        <v>42597</v>
      </c>
      <c r="V132" s="67">
        <f>IF(DAY(Aoû_Dim1)=1,IF(AND(YEAR(Aoû_Dim1+9)=Année_Calendaire,MONTH(Aoû_Dim1+9)=8),Aoû_Dim1+9,""),IF(AND(YEAR(Aoû_Dim1+16)=Année_Calendaire,MONTH(Aoû_Dim1+16)=8),Aoû_Dim1+16,""))</f>
        <v>42598</v>
      </c>
      <c r="W132" s="67">
        <f>IF(DAY(Aoû_Dim1)=1,IF(AND(YEAR(Aoû_Dim1+10)=Année_Calendaire,MONTH(Aoû_Dim1+10)=8),Aoû_Dim1+10,""),IF(AND(YEAR(Aoû_Dim1+17)=Année_Calendaire,MONTH(Aoû_Dim1+17)=8),Aoû_Dim1+17,""))</f>
        <v>42599</v>
      </c>
      <c r="X132" s="67">
        <f>IF(DAY(Aoû_Dim1)=1,IF(AND(YEAR(Aoû_Dim1+11)=Année_Calendaire,MONTH(Aoû_Dim1+11)=8),Aoû_Dim1+11,""),IF(AND(YEAR(Aoû_Dim1+18)=Année_Calendaire,MONTH(Aoû_Dim1+18)=8),Aoû_Dim1+18,""))</f>
        <v>42600</v>
      </c>
      <c r="Y132" s="67">
        <f>IF(DAY(Aoû_Dim1)=1,IF(AND(YEAR(Aoû_Dim1+12)=Année_Calendaire,MONTH(Aoû_Dim1+12)=8),Aoû_Dim1+12,""),IF(AND(YEAR(Aoû_Dim1+19)=Année_Calendaire,MONTH(Aoû_Dim1+19)=8),Aoû_Dim1+19,""))</f>
        <v>42601</v>
      </c>
      <c r="Z132" s="67">
        <f>IF(DAY(Aoû_Dim1)=1,IF(AND(YEAR(Aoû_Dim1+13)=Année_Calendaire,MONTH(Aoû_Dim1+13)=8),Aoû_Dim1+13,""),IF(AND(YEAR(Aoû_Dim1+20)=Année_Calendaire,MONTH(Aoû_Dim1+20)=8),Aoû_Dim1+20,""))</f>
        <v>42602</v>
      </c>
      <c r="AA132" s="67">
        <f>IF(DAY(Aoû_Dim1)=1,IF(AND(YEAR(Aoû_Dim1+14)=Année_Calendaire,MONTH(Aoû_Dim1+14)=8),Aoû_Dim1+14,""),IF(AND(YEAR(Aoû_Dim1+21)=Année_Calendaire,MONTH(Aoû_Dim1+21)=8),Aoû_Dim1+21,""))</f>
        <v>42603</v>
      </c>
      <c r="AB132" s="96"/>
      <c r="AC132" s="87"/>
      <c r="AD132" s="67">
        <f>IF(DAY(Aoû_Dim1)=1,IF(AND(YEAR(Aoû_Dim1+15)=Année_Calendaire,MONTH(Aoû_Dim1+15)=8),Aoû_Dim1+15,""),IF(AND(YEAR(Aoû_Dim1+22)=Année_Calendaire,MONTH(Aoû_Dim1+22)=8),Aoû_Dim1+22,""))</f>
        <v>42604</v>
      </c>
      <c r="AE132" s="67">
        <f>IF(DAY(Aoû_Dim1)=1,IF(AND(YEAR(Aoû_Dim1+16)=Année_Calendaire,MONTH(Aoû_Dim1+16)=8),Aoû_Dim1+16,""),IF(AND(YEAR(Aoû_Dim1+23)=Année_Calendaire,MONTH(Aoû_Dim1+23)=8),Aoû_Dim1+23,""))</f>
        <v>42605</v>
      </c>
      <c r="AF132" s="67">
        <f>IF(DAY(Aoû_Dim1)=1,IF(AND(YEAR(Aoû_Dim1+17)=Année_Calendaire,MONTH(Aoû_Dim1+17)=8),Aoû_Dim1+17,""),IF(AND(YEAR(Aoû_Dim1+24)=Année_Calendaire,MONTH(Aoû_Dim1+24)=8),Aoû_Dim1+24,""))</f>
        <v>42606</v>
      </c>
      <c r="AG132" s="67">
        <f>IF(DAY(Aoû_Dim1)=1,IF(AND(YEAR(Aoû_Dim1+18)=Année_Calendaire,MONTH(Aoû_Dim1+18)=8),Aoû_Dim1+18,""),IF(AND(YEAR(Aoû_Dim1+25)=Année_Calendaire,MONTH(Aoû_Dim1+25)=8),Aoû_Dim1+25,""))</f>
        <v>42607</v>
      </c>
      <c r="AH132" s="67">
        <f>IF(DAY(Aoû_Dim1)=1,IF(AND(YEAR(Aoû_Dim1+19)=Année_Calendaire,MONTH(Aoû_Dim1+19)=8),Aoû_Dim1+19,""),IF(AND(YEAR(Aoû_Dim1+26)=Année_Calendaire,MONTH(Aoû_Dim1+26)=8),Aoû_Dim1+26,""))</f>
        <v>42608</v>
      </c>
      <c r="AI132" s="67">
        <f>IF(DAY(Aoû_Dim1)=1,IF(AND(YEAR(Aoû_Dim1+20)=Année_Calendaire,MONTH(Aoû_Dim1+20)=8),Aoû_Dim1+20,""),IF(AND(YEAR(Aoû_Dim1+27)=Année_Calendaire,MONTH(Aoû_Dim1+27)=8),Aoû_Dim1+27,""))</f>
        <v>42609</v>
      </c>
      <c r="AJ132" s="67">
        <f>IF(DAY(Aoû_Dim1)=1,IF(AND(YEAR(Aoû_Dim1+21)=Année_Calendaire,MONTH(Aoû_Dim1+21)=8),Aoû_Dim1+21,""),IF(AND(YEAR(Aoû_Dim1+28)=Année_Calendaire,MONTH(Aoû_Dim1+28)=8),Aoû_Dim1+28,""))</f>
        <v>42610</v>
      </c>
      <c r="AK132" s="96"/>
      <c r="AL132" s="87"/>
      <c r="AM132" s="67">
        <f>IF(DAY(Aoû_Dim1)=1,IF(AND(YEAR(Aoû_Dim1+22)=Année_Calendaire,MONTH(Aoû_Dim1+22)=8),Aoû_Dim1+22,""),IF(AND(YEAR(Aoû_Dim1+29)=Année_Calendaire,MONTH(Aoû_Dim1+29)=8),Aoû_Dim1+29,""))</f>
        <v>42611</v>
      </c>
      <c r="AN132" s="67">
        <f>IF(DAY(Aoû_Dim1)=1,IF(AND(YEAR(Aoû_Dim1+23)=Année_Calendaire,MONTH(Aoû_Dim1+23)=8),Aoû_Dim1+23,""),IF(AND(YEAR(Aoû_Dim1+30)=Année_Calendaire,MONTH(Aoû_Dim1+30)=8),Aoû_Dim1+30,""))</f>
        <v>42612</v>
      </c>
      <c r="AO132" s="67">
        <f>IF(DAY(Aoû_Dim1)=1,IF(AND(YEAR(Aoû_Dim1+24)=Année_Calendaire,MONTH(Aoû_Dim1+24)=8),Aoû_Dim1+24,""),IF(AND(YEAR(Aoû_Dim1+31)=Année_Calendaire,MONTH(Aoû_Dim1+31)=8),Aoû_Dim1+31,""))</f>
        <v>42613</v>
      </c>
      <c r="AP132" s="67" t="str">
        <f>IF(DAY(Aoû_Dim1)=1,IF(AND(YEAR(Aoû_Dim1+25)=Année_Calendaire,MONTH(Aoû_Dim1+25)=8),Aoû_Dim1+25,""),IF(AND(YEAR(Aoû_Dim1+32)=Année_Calendaire,MONTH(Aoû_Dim1+32)=8),Aoû_Dim1+32,""))</f>
        <v/>
      </c>
      <c r="AQ132" s="67" t="str">
        <f>IF(DAY(Aoû_Dim1)=1,IF(AND(YEAR(Aoû_Dim1+26)=Année_Calendaire,MONTH(Aoû_Dim1+26)=8),Aoû_Dim1+26,""),IF(AND(YEAR(Aoû_Dim1+33)=Année_Calendaire,MONTH(Aoû_Dim1+33)=8),Aoû_Dim1+33,""))</f>
        <v/>
      </c>
      <c r="AR132" s="67" t="str">
        <f>IF(DAY(Aoû_Dim1)=1,IF(AND(YEAR(Aoû_Dim1+27)=Année_Calendaire,MONTH(Aoû_Dim1+27)=8),Aoû_Dim1+27,""),IF(AND(YEAR(Aoû_Dim1+34)=Année_Calendaire,MONTH(Aoû_Dim1+34)=8),Aoû_Dim1+34,""))</f>
        <v/>
      </c>
      <c r="AS132" s="67" t="str">
        <f>IF(DAY(Aoû_Dim1)=1,IF(AND(YEAR(Aoû_Dim1+28)=Année_Calendaire,MONTH(Aoû_Dim1+28)=8),Aoû_Dim1+28,""),IF(AND(YEAR(Aoû_Dim1+35)=Année_Calendaire,MONTH(Aoû_Dim1+35)=8),Aoû_Dim1+35,""))</f>
        <v/>
      </c>
      <c r="AT132" s="96"/>
      <c r="AU132" s="87"/>
      <c r="AV132" s="61" t="str">
        <f>IF(DAY(Aoû_Dim1)=1,IF(AND(YEAR(Aoû_Dim1+29)=Année_Calendaire,MONTH(Aoû_Dim1+29)=8),Aoû_Dim1+29,""),IF(AND(YEAR(Aoû_Dim1+36)=Année_Calendaire,MONTH(Aoû_Dim1+36)=8),Aoû_Dim1+36,""))</f>
        <v/>
      </c>
      <c r="AW132" s="61" t="str">
        <f>IF(DAY(Aoû_Dim1)=1,IF(AND(YEAR(Aoû_Dim1+30)=Année_Calendaire,MONTH(Aoû_Dim1+30)=8),Aoû_Dim1+30,""),IF(AND(YEAR(Aoû_Dim1+37)=Année_Calendaire,MONTH(Aoû_Dim1+37)=8),Aoû_Dim1+37,""))</f>
        <v/>
      </c>
      <c r="AX132" s="96"/>
      <c r="AY132" s="96"/>
      <c r="AZ132" s="97"/>
      <c r="BA132" s="97"/>
    </row>
    <row r="133" spans="1:53" ht="15" customHeight="1" x14ac:dyDescent="0.25">
      <c r="A133" s="21" t="s">
        <v>2</v>
      </c>
      <c r="B133" s="81"/>
      <c r="C133" s="31"/>
      <c r="D133" s="31"/>
      <c r="E133" s="31"/>
      <c r="F133" s="31"/>
      <c r="G133" s="31"/>
      <c r="H133" s="31"/>
      <c r="I133" s="31"/>
      <c r="J133" s="60"/>
      <c r="K133" s="60"/>
      <c r="L133" s="31"/>
      <c r="M133" s="31"/>
      <c r="N133" s="31"/>
      <c r="O133" s="31"/>
      <c r="P133" s="31"/>
      <c r="Q133" s="31"/>
      <c r="R133" s="31"/>
      <c r="S133" s="60"/>
      <c r="T133" s="60"/>
      <c r="U133" s="31"/>
      <c r="V133" s="31"/>
      <c r="W133" s="31"/>
      <c r="X133" s="31"/>
      <c r="Y133" s="31"/>
      <c r="Z133" s="31"/>
      <c r="AA133" s="31"/>
      <c r="AB133" s="60"/>
      <c r="AC133" s="60"/>
      <c r="AD133" s="31"/>
      <c r="AE133" s="31"/>
      <c r="AF133" s="31"/>
      <c r="AG133" s="31"/>
      <c r="AH133" s="31"/>
      <c r="AI133" s="31"/>
      <c r="AJ133" s="31"/>
      <c r="AK133" s="60"/>
      <c r="AL133" s="60"/>
      <c r="AM133" s="31"/>
      <c r="AN133" s="31"/>
      <c r="AO133" s="31"/>
      <c r="AP133" s="31"/>
      <c r="AQ133" s="31"/>
      <c r="AR133" s="31"/>
      <c r="AS133" s="31"/>
      <c r="AT133" s="60"/>
      <c r="AU133" s="60"/>
      <c r="AV133" s="31"/>
      <c r="AW133" s="31"/>
      <c r="AX133" s="60"/>
      <c r="AY133" s="63"/>
    </row>
    <row r="134" spans="1:53" ht="15" customHeight="1" x14ac:dyDescent="0.25">
      <c r="A134" s="21" t="s">
        <v>12</v>
      </c>
      <c r="B134" s="81"/>
      <c r="C134" s="60">
        <f t="shared" ref="C134:I134" si="212">IF(C133="Matin",1,IF(C133="AM",1,0))</f>
        <v>0</v>
      </c>
      <c r="D134" s="60">
        <f t="shared" si="212"/>
        <v>0</v>
      </c>
      <c r="E134" s="60">
        <f t="shared" si="212"/>
        <v>0</v>
      </c>
      <c r="F134" s="60">
        <f t="shared" si="212"/>
        <v>0</v>
      </c>
      <c r="G134" s="60">
        <f t="shared" si="212"/>
        <v>0</v>
      </c>
      <c r="H134" s="60">
        <f t="shared" si="212"/>
        <v>0</v>
      </c>
      <c r="I134" s="60">
        <f t="shared" si="212"/>
        <v>0</v>
      </c>
      <c r="J134" s="60">
        <f>SUM(C134:I134)</f>
        <v>0</v>
      </c>
      <c r="K134" s="60"/>
      <c r="L134" s="60">
        <f t="shared" ref="L134:R134" si="213">IF(L133="Matin",1,IF(L133="AM",1,0))</f>
        <v>0</v>
      </c>
      <c r="M134" s="60">
        <f t="shared" si="213"/>
        <v>0</v>
      </c>
      <c r="N134" s="60">
        <f t="shared" si="213"/>
        <v>0</v>
      </c>
      <c r="O134" s="60">
        <f t="shared" si="213"/>
        <v>0</v>
      </c>
      <c r="P134" s="60">
        <f t="shared" si="213"/>
        <v>0</v>
      </c>
      <c r="Q134" s="60">
        <f t="shared" si="213"/>
        <v>0</v>
      </c>
      <c r="R134" s="60">
        <f t="shared" si="213"/>
        <v>0</v>
      </c>
      <c r="S134" s="60">
        <f>SUM(L134:R134)</f>
        <v>0</v>
      </c>
      <c r="T134" s="60"/>
      <c r="U134" s="60">
        <f t="shared" ref="U134:AA134" si="214">IF(U133="Matin",1,IF(U133="AM",1,0))</f>
        <v>0</v>
      </c>
      <c r="V134" s="60">
        <f t="shared" si="214"/>
        <v>0</v>
      </c>
      <c r="W134" s="60">
        <f t="shared" si="214"/>
        <v>0</v>
      </c>
      <c r="X134" s="60">
        <f t="shared" si="214"/>
        <v>0</v>
      </c>
      <c r="Y134" s="60">
        <f t="shared" si="214"/>
        <v>0</v>
      </c>
      <c r="Z134" s="60">
        <f t="shared" si="214"/>
        <v>0</v>
      </c>
      <c r="AA134" s="60">
        <f t="shared" si="214"/>
        <v>0</v>
      </c>
      <c r="AB134" s="60">
        <f>SUM(U134:AA134)</f>
        <v>0</v>
      </c>
      <c r="AC134" s="60"/>
      <c r="AD134" s="60">
        <f t="shared" ref="AD134:AJ134" si="215">IF(AD133="Matin",1,IF(AD133="AM",1,0))</f>
        <v>0</v>
      </c>
      <c r="AE134" s="60">
        <f t="shared" si="215"/>
        <v>0</v>
      </c>
      <c r="AF134" s="60">
        <f t="shared" si="215"/>
        <v>0</v>
      </c>
      <c r="AG134" s="60">
        <f t="shared" si="215"/>
        <v>0</v>
      </c>
      <c r="AH134" s="60">
        <f t="shared" si="215"/>
        <v>0</v>
      </c>
      <c r="AI134" s="60">
        <f t="shared" si="215"/>
        <v>0</v>
      </c>
      <c r="AJ134" s="60">
        <f t="shared" si="215"/>
        <v>0</v>
      </c>
      <c r="AK134" s="60">
        <f>SUM(AD134:AJ134)</f>
        <v>0</v>
      </c>
      <c r="AL134" s="60"/>
      <c r="AM134" s="60">
        <f t="shared" ref="AM134:AS134" si="216">IF(AM133="Matin",1,IF(AM133="AM",1,0))</f>
        <v>0</v>
      </c>
      <c r="AN134" s="60">
        <f t="shared" si="216"/>
        <v>0</v>
      </c>
      <c r="AO134" s="60">
        <f t="shared" si="216"/>
        <v>0</v>
      </c>
      <c r="AP134" s="60">
        <f t="shared" si="216"/>
        <v>0</v>
      </c>
      <c r="AQ134" s="60">
        <f t="shared" si="216"/>
        <v>0</v>
      </c>
      <c r="AR134" s="60">
        <f t="shared" si="216"/>
        <v>0</v>
      </c>
      <c r="AS134" s="60">
        <f t="shared" si="216"/>
        <v>0</v>
      </c>
      <c r="AT134" s="60">
        <f>SUM(AM134:AS134)</f>
        <v>0</v>
      </c>
      <c r="AU134" s="60"/>
      <c r="AV134" s="60">
        <f t="shared" ref="AV134:AW134" si="217">IF(AV133="Matin",1,IF(AV133="AM",1,0))</f>
        <v>0</v>
      </c>
      <c r="AW134" s="60">
        <f t="shared" si="217"/>
        <v>0</v>
      </c>
      <c r="AX134" s="60">
        <f t="shared" ref="AX134:AX141" si="218">SUM(AV134:AW134)</f>
        <v>0</v>
      </c>
      <c r="AY134" s="60">
        <f>J134+S134+AB134+AK134+AT134+AX134</f>
        <v>0</v>
      </c>
    </row>
    <row r="135" spans="1:53" ht="15" customHeight="1" x14ac:dyDescent="0.25">
      <c r="A135" s="21" t="s">
        <v>4</v>
      </c>
      <c r="B135" s="81"/>
      <c r="C135" s="60">
        <f>IF(C136&gt;=1,1,0)</f>
        <v>0</v>
      </c>
      <c r="D135" s="60">
        <f>IF(D136&gt;=1,1,0)</f>
        <v>0</v>
      </c>
      <c r="E135" s="60">
        <f t="shared" ref="E135:I135" si="219">IF(E136&gt;=1,1,0)</f>
        <v>0</v>
      </c>
      <c r="F135" s="60">
        <f t="shared" si="219"/>
        <v>0</v>
      </c>
      <c r="G135" s="60">
        <f t="shared" si="219"/>
        <v>0</v>
      </c>
      <c r="H135" s="60">
        <f t="shared" si="219"/>
        <v>0</v>
      </c>
      <c r="I135" s="60">
        <f t="shared" si="219"/>
        <v>0</v>
      </c>
      <c r="J135" s="60">
        <f t="shared" ref="J135:J145" si="220">SUM(C135:I135)</f>
        <v>0</v>
      </c>
      <c r="K135" s="60"/>
      <c r="L135" s="60">
        <f>IF(L136&gt;=1,1,0)</f>
        <v>0</v>
      </c>
      <c r="M135" s="60">
        <f t="shared" ref="M135:R135" si="221">IF(M136&gt;=1,1,0)</f>
        <v>0</v>
      </c>
      <c r="N135" s="60">
        <f t="shared" si="221"/>
        <v>0</v>
      </c>
      <c r="O135" s="60">
        <f t="shared" si="221"/>
        <v>0</v>
      </c>
      <c r="P135" s="60">
        <f t="shared" si="221"/>
        <v>0</v>
      </c>
      <c r="Q135" s="60">
        <f t="shared" si="221"/>
        <v>0</v>
      </c>
      <c r="R135" s="60">
        <f t="shared" si="221"/>
        <v>0</v>
      </c>
      <c r="S135" s="60">
        <f t="shared" ref="S135:S145" si="222">SUM(L135:R135)</f>
        <v>0</v>
      </c>
      <c r="T135" s="60"/>
      <c r="U135" s="60">
        <f>IF(U136&gt;=1,1,0)</f>
        <v>0</v>
      </c>
      <c r="V135" s="60">
        <f t="shared" ref="V135:AA135" si="223">IF(V136&gt;=1,1,0)</f>
        <v>0</v>
      </c>
      <c r="W135" s="60">
        <f t="shared" si="223"/>
        <v>0</v>
      </c>
      <c r="X135" s="60">
        <f t="shared" si="223"/>
        <v>0</v>
      </c>
      <c r="Y135" s="60">
        <f t="shared" si="223"/>
        <v>0</v>
      </c>
      <c r="Z135" s="60">
        <f t="shared" si="223"/>
        <v>0</v>
      </c>
      <c r="AA135" s="60">
        <f t="shared" si="223"/>
        <v>0</v>
      </c>
      <c r="AB135" s="60">
        <f t="shared" ref="AB135:AB145" si="224">SUM(U135:AA135)</f>
        <v>0</v>
      </c>
      <c r="AC135" s="60"/>
      <c r="AD135" s="60">
        <f>IF(AD136&gt;=1,1,0)</f>
        <v>0</v>
      </c>
      <c r="AE135" s="60">
        <f t="shared" ref="AE135:AJ135" si="225">IF(AE136&gt;=1,1,0)</f>
        <v>0</v>
      </c>
      <c r="AF135" s="60">
        <f t="shared" si="225"/>
        <v>0</v>
      </c>
      <c r="AG135" s="60">
        <f t="shared" si="225"/>
        <v>0</v>
      </c>
      <c r="AH135" s="60">
        <f t="shared" si="225"/>
        <v>0</v>
      </c>
      <c r="AI135" s="60">
        <f t="shared" si="225"/>
        <v>0</v>
      </c>
      <c r="AJ135" s="60">
        <f t="shared" si="225"/>
        <v>0</v>
      </c>
      <c r="AK135" s="60">
        <f t="shared" ref="AK135:AK145" si="226">SUM(AD135:AJ135)</f>
        <v>0</v>
      </c>
      <c r="AL135" s="60"/>
      <c r="AM135" s="60">
        <f>IF(AM136&gt;=1,1,0)</f>
        <v>0</v>
      </c>
      <c r="AN135" s="60">
        <f t="shared" ref="AN135:AS135" si="227">IF(AN136&gt;=1,1,0)</f>
        <v>0</v>
      </c>
      <c r="AO135" s="60">
        <f t="shared" si="227"/>
        <v>0</v>
      </c>
      <c r="AP135" s="60">
        <f t="shared" si="227"/>
        <v>0</v>
      </c>
      <c r="AQ135" s="60">
        <f t="shared" si="227"/>
        <v>0</v>
      </c>
      <c r="AR135" s="60">
        <f t="shared" si="227"/>
        <v>0</v>
      </c>
      <c r="AS135" s="60">
        <f t="shared" si="227"/>
        <v>0</v>
      </c>
      <c r="AT135" s="60">
        <f t="shared" ref="AT135:AT145" si="228">SUM(AM135:AS135)</f>
        <v>0</v>
      </c>
      <c r="AU135" s="60"/>
      <c r="AV135" s="60">
        <f>IF(AV136&gt;=1,1,0)</f>
        <v>0</v>
      </c>
      <c r="AW135" s="60">
        <f t="shared" ref="AW135" si="229">IF(AW136&gt;=1,1,0)</f>
        <v>0</v>
      </c>
      <c r="AX135" s="60">
        <f t="shared" si="218"/>
        <v>0</v>
      </c>
      <c r="AY135" s="60">
        <f t="shared" ref="AY135:AY144" si="230">J135+S135+AB135+AK135+AT135+AX135</f>
        <v>0</v>
      </c>
    </row>
    <row r="136" spans="1:53" ht="15" customHeight="1" x14ac:dyDescent="0.25">
      <c r="A136" s="21" t="s">
        <v>3</v>
      </c>
      <c r="B136" s="81"/>
      <c r="C136" s="31"/>
      <c r="D136" s="31"/>
      <c r="E136" s="31"/>
      <c r="F136" s="31"/>
      <c r="G136" s="31"/>
      <c r="H136" s="31"/>
      <c r="I136" s="31"/>
      <c r="J136" s="60">
        <f t="shared" si="220"/>
        <v>0</v>
      </c>
      <c r="K136" s="60"/>
      <c r="L136" s="31"/>
      <c r="M136" s="31"/>
      <c r="N136" s="31"/>
      <c r="O136" s="31"/>
      <c r="P136" s="31"/>
      <c r="Q136" s="31"/>
      <c r="R136" s="31"/>
      <c r="S136" s="60">
        <f t="shared" si="222"/>
        <v>0</v>
      </c>
      <c r="T136" s="60"/>
      <c r="U136" s="31"/>
      <c r="V136" s="31"/>
      <c r="W136" s="31"/>
      <c r="X136" s="31"/>
      <c r="Y136" s="31"/>
      <c r="Z136" s="31"/>
      <c r="AA136" s="31"/>
      <c r="AB136" s="60">
        <f t="shared" si="224"/>
        <v>0</v>
      </c>
      <c r="AC136" s="60"/>
      <c r="AD136" s="31"/>
      <c r="AE136" s="31"/>
      <c r="AF136" s="31"/>
      <c r="AG136" s="31"/>
      <c r="AH136" s="31"/>
      <c r="AI136" s="31"/>
      <c r="AJ136" s="31"/>
      <c r="AK136" s="60">
        <f t="shared" si="226"/>
        <v>0</v>
      </c>
      <c r="AL136" s="60"/>
      <c r="AM136" s="31"/>
      <c r="AN136" s="31"/>
      <c r="AO136" s="31"/>
      <c r="AP136" s="31"/>
      <c r="AQ136" s="31"/>
      <c r="AR136" s="31"/>
      <c r="AS136" s="31"/>
      <c r="AT136" s="60">
        <f t="shared" si="228"/>
        <v>0</v>
      </c>
      <c r="AU136" s="60"/>
      <c r="AV136" s="31"/>
      <c r="AW136" s="31"/>
      <c r="AX136" s="60">
        <f t="shared" si="218"/>
        <v>0</v>
      </c>
      <c r="AY136" s="60">
        <f t="shared" si="230"/>
        <v>0</v>
      </c>
    </row>
    <row r="137" spans="1:53" ht="15" customHeight="1" x14ac:dyDescent="0.25">
      <c r="A137" s="36" t="s">
        <v>20</v>
      </c>
      <c r="B137" s="82"/>
      <c r="C137" s="66">
        <f>IF(C131&lt;&gt;"Dim",IF(C136&gt;32,MIN(C136,35)-32,0),0)</f>
        <v>0</v>
      </c>
      <c r="D137" s="66">
        <f>IF(D131&lt;&gt;"Dim",IF(SUM($C136:D136)&gt;32,MIN(SUM($C136:D136),35)-32-SUM($C137:C137),0),0)</f>
        <v>0</v>
      </c>
      <c r="E137" s="66">
        <f>IF(E131&lt;&gt;"Dim",IF(SUM($C136:E136)&gt;32,MIN(SUM($C136:E136),35)-32-SUM($C137:D137),0),0)</f>
        <v>0</v>
      </c>
      <c r="F137" s="66">
        <f>IF(F131&lt;&gt;"Dim",IF(SUM($C136:F136)&gt;32,MIN(SUM($C136:F136),35)-32-SUM($C137:E137),0),0)</f>
        <v>0</v>
      </c>
      <c r="G137" s="66">
        <f>IF(G131&lt;&gt;"Dim",IF(SUM($C136:G136)&gt;32,MIN(SUM($C136:G136),35)-32-SUM($C137:F137),0),0)</f>
        <v>0</v>
      </c>
      <c r="H137" s="66">
        <f>IF(H131&lt;&gt;"Dim",IF(SUM($C136:H136)&gt;32,MIN(SUM($C136:H136),35)-32-SUM($C137:G137),0),0)</f>
        <v>0</v>
      </c>
      <c r="I137" s="66">
        <f>IF(I131&lt;&gt;"Dim",IF(SUM($C136:I136)&gt;32,MIN(SUM($C136:I136),35)-32-SUM($C137:H137),0),0)</f>
        <v>0</v>
      </c>
      <c r="J137" s="60">
        <f t="shared" si="220"/>
        <v>0</v>
      </c>
      <c r="K137" s="60"/>
      <c r="L137" s="66">
        <f>IF(L131&lt;&gt;"Dim",IF(L136&gt;32,MIN(L136,35)-32,0),0)</f>
        <v>0</v>
      </c>
      <c r="M137" s="66">
        <f>IF(M131&lt;&gt;"Dim",IF(SUM($L136:M136)&gt;32,MIN(SUM($L136:M136),35)-32-SUM($L137:L137),0),0)</f>
        <v>0</v>
      </c>
      <c r="N137" s="66">
        <f>IF(N131&lt;&gt;"Dim",IF(SUM($L136:N136)&gt;32,MIN(SUM($L136:N136),35)-32-SUM($L137:M137),0),0)</f>
        <v>0</v>
      </c>
      <c r="O137" s="66">
        <f>IF(O131&lt;&gt;"Dim",IF(SUM($L136:O136)&gt;32,MIN(SUM($L136:O136),35)-32-SUM($L137:N137),0),0)</f>
        <v>0</v>
      </c>
      <c r="P137" s="66">
        <f>IF(P131&lt;&gt;"Dim",IF(SUM($L136:P136)&gt;32,MIN(SUM($L136:P136),35)-32-SUM($L137:O137),0),0)</f>
        <v>0</v>
      </c>
      <c r="Q137" s="66">
        <f>IF(Q131&lt;&gt;"Dim",IF(SUM($L136:Q136)&gt;32,MIN(SUM($L136:Q136),35)-32-SUM($L137:P137),0),0)</f>
        <v>0</v>
      </c>
      <c r="R137" s="66">
        <f>IF(R131&lt;&gt;"Dim",IF(SUM($L136:R136)&gt;32,MIN(SUM($L136:R136),35)-32-SUM($L137:Q137),0),0)</f>
        <v>0</v>
      </c>
      <c r="S137" s="60">
        <f t="shared" si="222"/>
        <v>0</v>
      </c>
      <c r="T137" s="60"/>
      <c r="U137" s="66">
        <f>IF(U131&lt;&gt;"Dim",IF(U136&gt;32,MIN(U136,35)-32,0),0)</f>
        <v>0</v>
      </c>
      <c r="V137" s="66">
        <f>IF(V131&lt;&gt;"Dim",IF(SUM($U136:V136)&gt;32,MIN(SUM($U136:V136),35)-32-SUM($U137:U137),0),0)</f>
        <v>0</v>
      </c>
      <c r="W137" s="66">
        <f>IF(W131&lt;&gt;"Dim",IF(SUM($U136:W136)&gt;32,MIN(SUM($U136:W136),35)-32-SUM($U137:V137),0),0)</f>
        <v>0</v>
      </c>
      <c r="X137" s="66">
        <f>IF(X131&lt;&gt;"Dim",IF(SUM($U136:X136)&gt;32,MIN(SUM($U136:X136),35)-32-SUM($U137:W137),0),0)</f>
        <v>0</v>
      </c>
      <c r="Y137" s="66">
        <f>IF(Y131&lt;&gt;"Dim",IF(SUM($U136:Y136)&gt;32,MIN(SUM($U136:Y136),35)-32-SUM($U137:X137),0),0)</f>
        <v>0</v>
      </c>
      <c r="Z137" s="66">
        <f>IF(Z131&lt;&gt;"Dim",IF(SUM($U136:Z136)&gt;32,MIN(SUM($U136:Z136),35)-32-SUM($U137:Y137),0),0)</f>
        <v>0</v>
      </c>
      <c r="AA137" s="66">
        <f>IF(AA131&lt;&gt;"Dim",IF(SUM($U136:AA136)&gt;32,MIN(SUM($U136:AA136),35)-32-SUM($U137:Z137),0),0)</f>
        <v>0</v>
      </c>
      <c r="AB137" s="60">
        <f t="shared" si="224"/>
        <v>0</v>
      </c>
      <c r="AC137" s="60"/>
      <c r="AD137" s="66">
        <f>IF(AD131&lt;&gt;"Dim",IF(AD136&gt;32,MIN(AD136,35)-32,0),0)</f>
        <v>0</v>
      </c>
      <c r="AE137" s="66">
        <f>IF(AE131&lt;&gt;"Dim",IF(SUM($AD136:AE136)&gt;32,MIN(SUM($AD136:AE136),35)-32-SUM($AD137:AD137),0),0)</f>
        <v>0</v>
      </c>
      <c r="AF137" s="66">
        <f>IF(AF131&lt;&gt;"Dim",IF(SUM($AD136:AF136)&gt;32,MIN(SUM($AD136:AF136),35)-32-SUM($AD137:AE137),0),0)</f>
        <v>0</v>
      </c>
      <c r="AG137" s="66">
        <f>IF(AG131&lt;&gt;"Dim",IF(SUM($AD136:AG136)&gt;32,MIN(SUM($AD136:AG136),35)-32-SUM($AD137:AF137),0),0)</f>
        <v>0</v>
      </c>
      <c r="AH137" s="66">
        <f>IF(AH131&lt;&gt;"Dim",IF(SUM($AD136:AH136)&gt;32,MIN(SUM($AD136:AH136),35)-32-SUM($AD137:AG137),0),0)</f>
        <v>0</v>
      </c>
      <c r="AI137" s="66">
        <f>IF(AI131&lt;&gt;"Dim",IF(SUM($AD136:AI136)&gt;32,MIN(SUM($AD136:AI136),35)-32-SUM($AD137:AH137),0),0)</f>
        <v>0</v>
      </c>
      <c r="AJ137" s="66">
        <f>IF(AJ131&lt;&gt;"Dim",IF(SUM($AD136:AJ136)&gt;32,MIN(SUM($AD136:AJ136),35)-32-SUM($AD137:AI137),0),0)</f>
        <v>0</v>
      </c>
      <c r="AK137" s="60">
        <f t="shared" si="226"/>
        <v>0</v>
      </c>
      <c r="AL137" s="60"/>
      <c r="AM137" s="66">
        <f>IF(AM131&lt;&gt;"Dim",IF(AM136&gt;32,MIN(AM136,35)-32,0),0)</f>
        <v>0</v>
      </c>
      <c r="AN137" s="66">
        <f>IF(AN131&lt;&gt;"Dim",IF(SUM($AM136:AN136)&gt;32,MIN(SUM($AM136:AN136),35)-32-SUM($AM137:AM137),0),0)</f>
        <v>0</v>
      </c>
      <c r="AO137" s="66">
        <f>IF(AO131&lt;&gt;"Dim",IF(SUM($AM136:AO136)&gt;32,MIN(SUM($AM136:AO136),35)-32-SUM($AM137:AN137),0),0)</f>
        <v>0</v>
      </c>
      <c r="AP137" s="66">
        <f>IF(AP131&lt;&gt;"Dim",IF(SUM($AM136:AP136)&gt;32,MIN(SUM($AM136:AP136),35)-32-SUM($AM137:AO137),0),0)</f>
        <v>0</v>
      </c>
      <c r="AQ137" s="66">
        <f>IF(AQ131&lt;&gt;"Dim",IF(SUM($AM136:AQ136)&gt;32,MIN(SUM($AM136:AQ136),35)-32-SUM($AM137:AP137),0),0)</f>
        <v>0</v>
      </c>
      <c r="AR137" s="66">
        <f>IF(AR131&lt;&gt;"Dim",IF(SUM($AM136:AR136)&gt;32,MIN(SUM($AM136:AR136),35)-32-SUM($AM137:AQ137),0),0)</f>
        <v>0</v>
      </c>
      <c r="AS137" s="66">
        <f>IF(AS131&lt;&gt;"Dim",IF(SUM($AM136:AS136)&gt;32,MIN(SUM($AM136:AS136),35)-32-SUM($AM137:AR137),0),0)</f>
        <v>0</v>
      </c>
      <c r="AT137" s="60">
        <f t="shared" si="228"/>
        <v>0</v>
      </c>
      <c r="AU137" s="60"/>
      <c r="AV137" s="66">
        <f>IF(AV131&lt;&gt;"Dim",IF(AV136&gt;32,MIN(AV136,35)-32,0),0)</f>
        <v>0</v>
      </c>
      <c r="AW137" s="66">
        <f>IF(AW131&lt;&gt;"Dim",IF(SUM($AV136:AW136)&gt;32,MIN(SUM($AV136:AW136),35)-32-SUM($AV137:AV137),0),0)</f>
        <v>0</v>
      </c>
      <c r="AX137" s="60">
        <f t="shared" si="218"/>
        <v>0</v>
      </c>
      <c r="AY137" s="60">
        <f t="shared" si="230"/>
        <v>0</v>
      </c>
    </row>
    <row r="138" spans="1:53" ht="15" customHeight="1" x14ac:dyDescent="0.25">
      <c r="A138" s="21" t="s">
        <v>6</v>
      </c>
      <c r="B138" s="81"/>
      <c r="C138" s="66">
        <f>IF(C131&lt;&gt;"Dim",IF(C136&gt;35,(MIN(C136,43)-35),0),0)</f>
        <v>0</v>
      </c>
      <c r="D138" s="66">
        <f>IF(D131&lt;&gt;"Dim",IF(SUM($C136:D136)&gt;35,(MIN(SUM($C136:D136),43)-35-SUM($C138:C138)),0),0)</f>
        <v>0</v>
      </c>
      <c r="E138" s="66">
        <f>IF(E131&lt;&gt;"Dim",IF(SUM($C136:E136)&gt;35,(MIN(SUM($C136:E136),43)-35-SUM($C138:D138)),0),0)</f>
        <v>0</v>
      </c>
      <c r="F138" s="66">
        <f>IF(F131&lt;&gt;"Dim",IF(SUM($C136:F136)&gt;35,(MIN(SUM($C136:F136),43)-35-SUM($C138:E138)),0),0)</f>
        <v>0</v>
      </c>
      <c r="G138" s="66">
        <f>IF(G131&lt;&gt;"Dim",IF(SUM($C136:G136)&gt;35,(MIN(SUM($C136:G136),43)-35-SUM($C138:F138)),0),0)</f>
        <v>0</v>
      </c>
      <c r="H138" s="66">
        <f>IF(H131&lt;&gt;"Dim",IF(SUM($C136:H136)&gt;35,(MIN(SUM($C136:H136),43)-35-SUM($C138:G138)),0),0)</f>
        <v>0</v>
      </c>
      <c r="I138" s="66">
        <f>IF(I131&lt;&gt;"Dim",IF(SUM($C136:I136)&gt;35,(MIN(SUM($C136:I136),43)-35-SUM($C138:H138)),0),0)</f>
        <v>0</v>
      </c>
      <c r="J138" s="60">
        <f t="shared" si="220"/>
        <v>0</v>
      </c>
      <c r="K138" s="60"/>
      <c r="L138" s="66">
        <f>IF(L131&lt;&gt;"Dim",IF(L136&gt;35,(MIN(L136,43)-35),0),0)</f>
        <v>0</v>
      </c>
      <c r="M138" s="66">
        <f>IF(M131&lt;&gt;"Dim",IF(SUM($L136:M136)&gt;35,(MIN(SUM($L136:M136),43)-35-SUM($L138:L138)),0),0)</f>
        <v>0</v>
      </c>
      <c r="N138" s="66">
        <f>IF(N131&lt;&gt;"Dim",IF(SUM($L136:N136)&gt;35,(MIN(SUM($L136:N136),43)-35-SUM($L138:M138)),0),0)</f>
        <v>0</v>
      </c>
      <c r="O138" s="66">
        <f>IF(O131&lt;&gt;"Dim",IF(SUM($L136:O136)&gt;35,(MIN(SUM($L136:O136),43)-35-SUM($L138:N138)),0),0)</f>
        <v>0</v>
      </c>
      <c r="P138" s="66">
        <f>IF(P131&lt;&gt;"Dim",IF(SUM($L136:P136)&gt;35,(MIN(SUM($L136:P136),43)-35-SUM($L138:O138)),0),0)</f>
        <v>0</v>
      </c>
      <c r="Q138" s="66">
        <f>IF(Q131&lt;&gt;"Dim",IF(SUM($L136:Q136)&gt;35,(MIN(SUM($L136:Q136),43)-35-SUM($L138:P138)),0),0)</f>
        <v>0</v>
      </c>
      <c r="R138" s="66">
        <f>IF(R131&lt;&gt;"Dim",IF(SUM($L136:R136)&gt;35,(MIN(SUM($L136:R136),43)-35-SUM($L138:Q138)),0),0)</f>
        <v>0</v>
      </c>
      <c r="S138" s="60">
        <f t="shared" si="222"/>
        <v>0</v>
      </c>
      <c r="T138" s="60"/>
      <c r="U138" s="66">
        <f>IF(U131&lt;&gt;"Dim",IF(U136&gt;35,(MIN(U136,43)-35),0),0)</f>
        <v>0</v>
      </c>
      <c r="V138" s="66">
        <f>IF(V131&lt;&gt;"Dim",IF(SUM($U136:V136)&gt;35,(MIN(SUM($U136:V136),43)-35-SUM($U138:U138)),0),0)</f>
        <v>0</v>
      </c>
      <c r="W138" s="66">
        <f>IF(W131&lt;&gt;"Dim",IF(SUM($U136:W136)&gt;35,(MIN(SUM($U136:W136),43)-35-SUM($U138:V138)),0),0)</f>
        <v>0</v>
      </c>
      <c r="X138" s="66">
        <f>IF(X131&lt;&gt;"Dim",IF(SUM($U136:X136)&gt;35,(MIN(SUM($U136:X136),43)-35-SUM($U138:W138)),0),0)</f>
        <v>0</v>
      </c>
      <c r="Y138" s="66">
        <f>IF(Y131&lt;&gt;"Dim",IF(SUM($U136:Y136)&gt;35,(MIN(SUM($U136:Y136),43)-35-SUM($U138:X138)),0),0)</f>
        <v>0</v>
      </c>
      <c r="Z138" s="66">
        <f>IF(Z131&lt;&gt;"Dim",IF(SUM($U136:Z136)&gt;35,(MIN(SUM($U136:Z136),43)-35-SUM($U138:Y138)),0),0)</f>
        <v>0</v>
      </c>
      <c r="AA138" s="66">
        <f>IF(AA131&lt;&gt;"Dim",IF(SUM($U136:AA136)&gt;35,(MIN(SUM($U136:AA136),43)-35-SUM($U138:Z138)),0),0)</f>
        <v>0</v>
      </c>
      <c r="AB138" s="60">
        <f t="shared" si="224"/>
        <v>0</v>
      </c>
      <c r="AC138" s="60"/>
      <c r="AD138" s="66">
        <f>IF(AD131&lt;&gt;"Dim",IF(AD136&gt;35,(MIN(AD136,43)-35),0),0)</f>
        <v>0</v>
      </c>
      <c r="AE138" s="66">
        <f>IF(AE131&lt;&gt;"Dim",IF(SUM($AD136:AE136)&gt;35,(MIN(SUM($AD136:AE136),43)-35-SUM($AD138:AD138)),0),0)</f>
        <v>0</v>
      </c>
      <c r="AF138" s="66">
        <f>IF(AF131&lt;&gt;"Dim",IF(SUM($AD136:AF136)&gt;35,(MIN(SUM($AD136:AF136),43)-35-SUM($AD138:AE138)),0),0)</f>
        <v>0</v>
      </c>
      <c r="AG138" s="66">
        <f>IF(AG131&lt;&gt;"Dim",IF(SUM($AD136:AG136)&gt;35,(MIN(SUM($AD136:AG136),43)-35-SUM($AD138:AF138)),0),0)</f>
        <v>0</v>
      </c>
      <c r="AH138" s="66">
        <f>IF(AH131&lt;&gt;"Dim",IF(SUM($AD136:AH136)&gt;35,(MIN(SUM($AD136:AH136),43)-35-SUM($AD138:AG138)),0),0)</f>
        <v>0</v>
      </c>
      <c r="AI138" s="66">
        <f>IF(AI131&lt;&gt;"Dim",IF(SUM($AD136:AI136)&gt;35,(MIN(SUM($AD136:AI136),43)-35-SUM($AD138:AH138)),0),0)</f>
        <v>0</v>
      </c>
      <c r="AJ138" s="66">
        <f>IF(AJ131&lt;&gt;"Dim",IF(SUM($AD136:AJ136)&gt;35,(MIN(SUM($AD136:AJ136),43)-35-SUM($AD138:AI138)),0),0)</f>
        <v>0</v>
      </c>
      <c r="AK138" s="60">
        <f t="shared" si="226"/>
        <v>0</v>
      </c>
      <c r="AL138" s="60"/>
      <c r="AM138" s="66">
        <f>IF(AM131&lt;&gt;"Dim",IF(AM136&gt;35,(MIN(AM136,43)-35),0),0)</f>
        <v>0</v>
      </c>
      <c r="AN138" s="66">
        <f>IF(AN131&lt;&gt;"Dim",IF(SUM($AM136:AN136)&gt;35,(MIN(SUM($AM136:AN136),43)-35-SUM($AM138:AM138)),0),0)</f>
        <v>0</v>
      </c>
      <c r="AO138" s="66">
        <f>IF(AO131&lt;&gt;"Dim",IF(SUM($AM136:AO136)&gt;35,(MIN(SUM($AM136:AO136),43)-35-SUM($AM138:AN138)),0),0)</f>
        <v>0</v>
      </c>
      <c r="AP138" s="66">
        <f>IF(AP131&lt;&gt;"Dim",IF(SUM($AM136:AP136)&gt;35,(MIN(SUM($AM136:AP136),43)-35-SUM($AM138:AO138)),0),0)</f>
        <v>0</v>
      </c>
      <c r="AQ138" s="66">
        <f>IF(AQ131&lt;&gt;"Dim",IF(SUM($AM136:AQ136)&gt;35,(MIN(SUM($AM136:AQ136),43)-35-SUM($AM138:AP138)),0),0)</f>
        <v>0</v>
      </c>
      <c r="AR138" s="66">
        <f>IF(AR131&lt;&gt;"Dim",IF(SUM($AM136:AR136)&gt;35,(MIN(SUM($AM136:AR136),43)-35-SUM($AM138:AQ138)),0),0)</f>
        <v>0</v>
      </c>
      <c r="AS138" s="66">
        <f>IF(AS131&lt;&gt;"Dim",IF(SUM($AM136:AS136)&gt;35,(MIN(SUM($AM136:AS136),43)-35-SUM($AM138:AR138)),0),0)</f>
        <v>0</v>
      </c>
      <c r="AT138" s="60">
        <f t="shared" si="228"/>
        <v>0</v>
      </c>
      <c r="AU138" s="60"/>
      <c r="AV138" s="66">
        <f>IF(AV131&lt;&gt;"Dim",IF(AV136&gt;35,(MIN(AV136,43)-35),0),0)</f>
        <v>0</v>
      </c>
      <c r="AW138" s="66">
        <f>IF(AW131&lt;&gt;"Dim",IF(SUM($AV136:AW136)&gt;35,(MIN(SUM($AV136:AW136),43)-35-SUM($AV138:AV138)),0),0)</f>
        <v>0</v>
      </c>
      <c r="AX138" s="60">
        <f t="shared" si="218"/>
        <v>0</v>
      </c>
      <c r="AY138" s="60">
        <f t="shared" si="230"/>
        <v>0</v>
      </c>
    </row>
    <row r="139" spans="1:53" ht="15" customHeight="1" x14ac:dyDescent="0.25">
      <c r="A139" s="21" t="s">
        <v>5</v>
      </c>
      <c r="B139" s="81"/>
      <c r="C139" s="66">
        <f>IF(C131&lt;&gt;"Dim",IF(C136&gt;43,(MIN(C136,48)-43),0),0)</f>
        <v>0</v>
      </c>
      <c r="D139" s="66">
        <f>IF(D131&lt;&gt;"Dim",IF(SUM($C136:D136)&gt;43,(MIN(SUM($C136:D136),48)-43-SUM($C139:C139)),0),0)</f>
        <v>0</v>
      </c>
      <c r="E139" s="66">
        <f>IF(E131&lt;&gt;"Dim",IF(SUM($C136:E136)&gt;43,(MIN(SUM($C136:E136),48)-43-SUM($C139:D139)),0),0)</f>
        <v>0</v>
      </c>
      <c r="F139" s="66">
        <f>IF(F131&lt;&gt;"Dim",IF(SUM($C136:F136)&gt;43,(MIN(SUM($C136:F136),48)-43-SUM($C139:E139)),0),0)</f>
        <v>0</v>
      </c>
      <c r="G139" s="66">
        <f>IF(G131&lt;&gt;"Dim",IF(SUM($C136:G136)&gt;43,(MIN(SUM($C136:G136),48)-43-SUM($C139:F139)),0),0)</f>
        <v>0</v>
      </c>
      <c r="H139" s="66">
        <f>IF(H131&lt;&gt;"Dim",IF(SUM($C136:H136)&gt;43,(MIN(SUM($C136:H136),48)-43-SUM($C139:G139)),0),0)</f>
        <v>0</v>
      </c>
      <c r="I139" s="66">
        <f>IF(I131&lt;&gt;"Dim",IF(SUM($C136:I136)&gt;43,(MIN(SUM($C136:I136),48)-43-SUM($C139:H139)),0),0)</f>
        <v>0</v>
      </c>
      <c r="J139" s="60">
        <f t="shared" si="220"/>
        <v>0</v>
      </c>
      <c r="K139" s="60"/>
      <c r="L139" s="66">
        <f>IF(L131&lt;&gt;"Dim",IF(L136&gt;43,(MIN(L136,48)-43),0),0)</f>
        <v>0</v>
      </c>
      <c r="M139" s="66">
        <f>IF(M131&lt;&gt;"Dim",IF(SUM($L136:M136)&gt;43,(MIN(SUM($L136:M136),48)-43-SUM($L139:L139)),0),0)</f>
        <v>0</v>
      </c>
      <c r="N139" s="66">
        <f>IF(N131&lt;&gt;"Dim",IF(SUM($L136:N136)&gt;43,(MIN(SUM($L136:N136),48)-43-SUM($L139:M139)),0),0)</f>
        <v>0</v>
      </c>
      <c r="O139" s="66">
        <f>IF(O131&lt;&gt;"Dim",IF(SUM($L136:O136)&gt;43,(MIN(SUM($L136:O136),48)-43-SUM($L139:N139)),0),0)</f>
        <v>0</v>
      </c>
      <c r="P139" s="66">
        <f>IF(P131&lt;&gt;"Dim",IF(SUM($L136:P136)&gt;43,(MIN(SUM($L136:P136),48)-43-SUM($L139:O139)),0),0)</f>
        <v>0</v>
      </c>
      <c r="Q139" s="66">
        <f>IF(Q131&lt;&gt;"Dim",IF(SUM($L136:Q136)&gt;43,(MIN(SUM($L136:Q136),48)-43-SUM($L139:P139)),0),0)</f>
        <v>0</v>
      </c>
      <c r="R139" s="66">
        <f>IF(R131&lt;&gt;"Dim",IF(SUM($L136:R136)&gt;43,(MIN(SUM($L136:R136),48)-43-SUM($L139:Q139)),0),0)</f>
        <v>0</v>
      </c>
      <c r="S139" s="60">
        <f t="shared" si="222"/>
        <v>0</v>
      </c>
      <c r="T139" s="60"/>
      <c r="U139" s="66">
        <f>IF(U131&lt;&gt;"Dim",IF(U136&gt;43,(MIN(U136,48)-43),0),0)</f>
        <v>0</v>
      </c>
      <c r="V139" s="66">
        <f>IF(V131&lt;&gt;"Dim",IF(SUM($U136:V136)&gt;43,(MIN(SUM($U136:V136),48)-43-SUM($U139:U139)),0),0)</f>
        <v>0</v>
      </c>
      <c r="W139" s="66">
        <f>IF(W131&lt;&gt;"Dim",IF(SUM($U136:W136)&gt;43,(MIN(SUM($U136:W136),48)-43-SUM($U139:V139)),0),0)</f>
        <v>0</v>
      </c>
      <c r="X139" s="66">
        <f>IF(X131&lt;&gt;"Dim",IF(SUM($U136:X136)&gt;43,(MIN(SUM($U136:X136),48)-43-SUM($U139:W139)),0),0)</f>
        <v>0</v>
      </c>
      <c r="Y139" s="66">
        <f>IF(Y131&lt;&gt;"Dim",IF(SUM($U136:Y136)&gt;43,(MIN(SUM($U136:Y136),48)-43-SUM($U139:X139)),0),0)</f>
        <v>0</v>
      </c>
      <c r="Z139" s="66">
        <f>IF(Z131&lt;&gt;"Dim",IF(SUM($U136:Z136)&gt;43,(MIN(SUM($U136:Z136),48)-43-SUM($U139:Y139)),0),0)</f>
        <v>0</v>
      </c>
      <c r="AA139" s="66">
        <f>IF(AA131&lt;&gt;"Dim",IF(SUM($U136:AA136)&gt;43,(MIN(SUM($U136:AA136),48)-43-SUM($U139:Z139)),0),0)</f>
        <v>0</v>
      </c>
      <c r="AB139" s="60">
        <f t="shared" si="224"/>
        <v>0</v>
      </c>
      <c r="AC139" s="60"/>
      <c r="AD139" s="66">
        <f>IF(AD131&lt;&gt;"Dim",IF(AD136&gt;43,(MIN(AD136,48)-43),0),0)</f>
        <v>0</v>
      </c>
      <c r="AE139" s="66">
        <f>IF(AE131&lt;&gt;"Dim",IF(SUM($AD136:AE136)&gt;43,(MIN(SUM($AD136:AE136),48)-43-SUM($AD139:AD139)),0),0)</f>
        <v>0</v>
      </c>
      <c r="AF139" s="66">
        <f>IF(AF131&lt;&gt;"Dim",IF(SUM($AD136:AF136)&gt;43,(MIN(SUM($AD136:AF136),48)-43-SUM($AD139:AE139)),0),0)</f>
        <v>0</v>
      </c>
      <c r="AG139" s="66">
        <f>IF(AG131&lt;&gt;"Dim",IF(SUM($AD136:AG136)&gt;43,(MIN(SUM($AD136:AG136),48)-43-SUM($AD139:AF139)),0),0)</f>
        <v>0</v>
      </c>
      <c r="AH139" s="66">
        <f>IF(AH131&lt;&gt;"Dim",IF(SUM($AD136:AH136)&gt;43,(MIN(SUM($AD136:AH136),48)-43-SUM($AD139:AG139)),0),0)</f>
        <v>0</v>
      </c>
      <c r="AI139" s="66">
        <f>IF(AI131&lt;&gt;"Dim",IF(SUM($AD136:AI136)&gt;43,(MIN(SUM($AD136:AI136),48)-43-SUM($AD139:AH139)),0),0)</f>
        <v>0</v>
      </c>
      <c r="AJ139" s="66">
        <f>IF(AJ131&lt;&gt;"Dim",IF(SUM($AD136:AJ136)&gt;43,(MIN(SUM($AD136:AJ136),48)-43-SUM($AD139:AI139)),0),0)</f>
        <v>0</v>
      </c>
      <c r="AK139" s="60">
        <f t="shared" si="226"/>
        <v>0</v>
      </c>
      <c r="AL139" s="60"/>
      <c r="AM139" s="66">
        <f>IF(AM131&lt;&gt;"Dim",IF(AM136&gt;43,(MIN(AM136,48)-43),0),0)</f>
        <v>0</v>
      </c>
      <c r="AN139" s="66">
        <f>IF(AN131&lt;&gt;"Dim",IF(SUM($AM136:AN136)&gt;43,(MIN(SUM($AM136:AN136),48)-43-SUM($AM139:AM139)),0),0)</f>
        <v>0</v>
      </c>
      <c r="AO139" s="66">
        <f>IF(AO131&lt;&gt;"Dim",IF(SUM($AM136:AO136)&gt;43,(MIN(SUM($AM136:AO136),48)-43-SUM($AM139:AN139)),0),0)</f>
        <v>0</v>
      </c>
      <c r="AP139" s="66">
        <f>IF(AP131&lt;&gt;"Dim",IF(SUM($AM136:AP136)&gt;43,(MIN(SUM($AM136:AP136),48)-43-SUM($AM139:AO139)),0),0)</f>
        <v>0</v>
      </c>
      <c r="AQ139" s="66">
        <f>IF(AQ131&lt;&gt;"Dim",IF(SUM($AM136:AQ136)&gt;43,(MIN(SUM($AM136:AQ136),48)-43-SUM($AM139:AP139)),0),0)</f>
        <v>0</v>
      </c>
      <c r="AR139" s="66">
        <f>IF(AR131&lt;&gt;"Dim",IF(SUM($AM136:AR136)&gt;43,(MIN(SUM($AM136:AR136),48)-43-SUM($AM139:AQ139)),0),0)</f>
        <v>0</v>
      </c>
      <c r="AS139" s="66">
        <f>IF(AS131&lt;&gt;"Dim",IF(SUM($AM136:AS136)&gt;43,(MIN(SUM($AM136:AS136),48)-43-SUM($AM139:AR139)),0),0)</f>
        <v>0</v>
      </c>
      <c r="AT139" s="60">
        <f t="shared" si="228"/>
        <v>0</v>
      </c>
      <c r="AU139" s="60"/>
      <c r="AV139" s="66">
        <f>IF(AV131&lt;&gt;"Dim",IF(AV136&gt;43,(MIN(AV136,48)-43),0),0)</f>
        <v>0</v>
      </c>
      <c r="AW139" s="66">
        <f>IF(AW131&lt;&gt;"Dim",IF(SUM($AV136:AW136)&gt;43,(MIN(SUM($AV136:AW136),48)-43-SUM($AV139:AV139)),0),0)</f>
        <v>0</v>
      </c>
      <c r="AX139" s="60">
        <f t="shared" si="218"/>
        <v>0</v>
      </c>
      <c r="AY139" s="60">
        <f t="shared" si="230"/>
        <v>0</v>
      </c>
    </row>
    <row r="140" spans="1:53" ht="15" customHeight="1" x14ac:dyDescent="0.25">
      <c r="A140" s="21" t="s">
        <v>7</v>
      </c>
      <c r="B140" s="81"/>
      <c r="C140" s="66">
        <f>IF(C131="Dim",C136,IF(C146="ferie",C136,0))</f>
        <v>0</v>
      </c>
      <c r="D140" s="66">
        <f t="shared" ref="D140:I140" si="231">IF(D131="Dim",D136,IF(D146="ferie",D136,0))</f>
        <v>0</v>
      </c>
      <c r="E140" s="66">
        <f t="shared" si="231"/>
        <v>0</v>
      </c>
      <c r="F140" s="66">
        <f t="shared" si="231"/>
        <v>0</v>
      </c>
      <c r="G140" s="66">
        <f t="shared" si="231"/>
        <v>0</v>
      </c>
      <c r="H140" s="66">
        <f t="shared" si="231"/>
        <v>0</v>
      </c>
      <c r="I140" s="66">
        <f t="shared" si="231"/>
        <v>0</v>
      </c>
      <c r="J140" s="60">
        <f t="shared" si="220"/>
        <v>0</v>
      </c>
      <c r="K140" s="60"/>
      <c r="L140" s="66">
        <f>IF(L131="Dim",L136,IF(L146="ferie",L136,0))</f>
        <v>0</v>
      </c>
      <c r="M140" s="66">
        <f t="shared" ref="M140:R140" si="232">IF(M131="Dim",M136,IF(M146="ferie",M136,0))</f>
        <v>0</v>
      </c>
      <c r="N140" s="66">
        <f t="shared" si="232"/>
        <v>0</v>
      </c>
      <c r="O140" s="66">
        <f t="shared" si="232"/>
        <v>0</v>
      </c>
      <c r="P140" s="66">
        <f t="shared" si="232"/>
        <v>0</v>
      </c>
      <c r="Q140" s="66">
        <f>IF(Q131="Dim",Q136,IF(Q146="ferie",Q136,0))</f>
        <v>0</v>
      </c>
      <c r="R140" s="66">
        <f t="shared" si="232"/>
        <v>0</v>
      </c>
      <c r="S140" s="60">
        <f t="shared" si="222"/>
        <v>0</v>
      </c>
      <c r="T140" s="60"/>
      <c r="U140" s="66">
        <f>IF(U131="Dim",U136,IF(U146="ferie",U136,0))</f>
        <v>0</v>
      </c>
      <c r="V140" s="66">
        <f t="shared" ref="V140:AA140" si="233">IF(V131="Dim",V136,IF(V146="ferie",V136,0))</f>
        <v>0</v>
      </c>
      <c r="W140" s="66">
        <f t="shared" si="233"/>
        <v>0</v>
      </c>
      <c r="X140" s="66">
        <f t="shared" si="233"/>
        <v>0</v>
      </c>
      <c r="Y140" s="66">
        <f t="shared" si="233"/>
        <v>0</v>
      </c>
      <c r="Z140" s="66">
        <f t="shared" si="233"/>
        <v>0</v>
      </c>
      <c r="AA140" s="66">
        <f t="shared" si="233"/>
        <v>0</v>
      </c>
      <c r="AB140" s="60">
        <f t="shared" si="224"/>
        <v>0</v>
      </c>
      <c r="AC140" s="60"/>
      <c r="AD140" s="66">
        <f>IF(AD131="Dim",AD136,IF(AD146="ferie",AD136,0))</f>
        <v>0</v>
      </c>
      <c r="AE140" s="66">
        <f t="shared" ref="AE140:AJ140" si="234">IF(AE131="Dim",AE136,IF(AE146="ferie",AE136,0))</f>
        <v>0</v>
      </c>
      <c r="AF140" s="66">
        <f t="shared" si="234"/>
        <v>0</v>
      </c>
      <c r="AG140" s="66">
        <f t="shared" si="234"/>
        <v>0</v>
      </c>
      <c r="AH140" s="66">
        <f t="shared" si="234"/>
        <v>0</v>
      </c>
      <c r="AI140" s="66">
        <f t="shared" si="234"/>
        <v>0</v>
      </c>
      <c r="AJ140" s="66">
        <f t="shared" si="234"/>
        <v>0</v>
      </c>
      <c r="AK140" s="60">
        <f t="shared" si="226"/>
        <v>0</v>
      </c>
      <c r="AL140" s="60"/>
      <c r="AM140" s="66">
        <f>IF(AM131="Dim",AM136,IF(AM146="ferie",AM136,0))</f>
        <v>0</v>
      </c>
      <c r="AN140" s="66">
        <f t="shared" ref="AN140:AW140" si="235">IF(AN131="Dim",AN136,IF(AN146="ferie",AN136,0))</f>
        <v>0</v>
      </c>
      <c r="AO140" s="66">
        <f t="shared" si="235"/>
        <v>0</v>
      </c>
      <c r="AP140" s="66">
        <f t="shared" si="235"/>
        <v>0</v>
      </c>
      <c r="AQ140" s="66">
        <f t="shared" si="235"/>
        <v>0</v>
      </c>
      <c r="AR140" s="66">
        <f t="shared" si="235"/>
        <v>0</v>
      </c>
      <c r="AS140" s="66">
        <f t="shared" si="235"/>
        <v>0</v>
      </c>
      <c r="AT140" s="60">
        <f>SUM(AM140:AS140)</f>
        <v>0</v>
      </c>
      <c r="AU140" s="60"/>
      <c r="AV140" s="66">
        <f>IF(AV131="Dim",AV136,IF(AV146="ferie",AV136,0))</f>
        <v>0</v>
      </c>
      <c r="AW140" s="66">
        <f t="shared" si="235"/>
        <v>0</v>
      </c>
      <c r="AX140" s="60">
        <f t="shared" si="218"/>
        <v>0</v>
      </c>
      <c r="AY140" s="60">
        <f t="shared" si="230"/>
        <v>0</v>
      </c>
    </row>
    <row r="141" spans="1:53" ht="15" customHeight="1" x14ac:dyDescent="0.25">
      <c r="A141" s="21" t="s">
        <v>8</v>
      </c>
      <c r="B141" s="81"/>
      <c r="C141" s="31"/>
      <c r="D141" s="31"/>
      <c r="E141" s="31"/>
      <c r="F141" s="31"/>
      <c r="G141" s="31"/>
      <c r="H141" s="31"/>
      <c r="I141" s="31"/>
      <c r="J141" s="60">
        <f t="shared" si="220"/>
        <v>0</v>
      </c>
      <c r="K141" s="60"/>
      <c r="L141" s="31"/>
      <c r="M141" s="31"/>
      <c r="N141" s="31"/>
      <c r="O141" s="31"/>
      <c r="P141" s="31"/>
      <c r="Q141" s="31"/>
      <c r="R141" s="31"/>
      <c r="S141" s="60">
        <f t="shared" si="222"/>
        <v>0</v>
      </c>
      <c r="T141" s="60"/>
      <c r="U141" s="31"/>
      <c r="V141" s="31"/>
      <c r="W141" s="31"/>
      <c r="X141" s="31"/>
      <c r="Y141" s="31"/>
      <c r="Z141" s="31"/>
      <c r="AA141" s="31"/>
      <c r="AB141" s="60">
        <f t="shared" si="224"/>
        <v>0</v>
      </c>
      <c r="AC141" s="60"/>
      <c r="AD141" s="31"/>
      <c r="AE141" s="31"/>
      <c r="AF141" s="31"/>
      <c r="AG141" s="31"/>
      <c r="AH141" s="31"/>
      <c r="AI141" s="31"/>
      <c r="AJ141" s="31"/>
      <c r="AK141" s="60">
        <f t="shared" si="226"/>
        <v>0</v>
      </c>
      <c r="AL141" s="60"/>
      <c r="AM141" s="31"/>
      <c r="AN141" s="31"/>
      <c r="AO141" s="31"/>
      <c r="AP141" s="31"/>
      <c r="AQ141" s="31"/>
      <c r="AR141" s="31"/>
      <c r="AS141" s="31"/>
      <c r="AT141" s="60">
        <f t="shared" si="228"/>
        <v>0</v>
      </c>
      <c r="AU141" s="60"/>
      <c r="AV141" s="31"/>
      <c r="AW141" s="31"/>
      <c r="AX141" s="60">
        <f t="shared" si="218"/>
        <v>0</v>
      </c>
      <c r="AY141" s="60">
        <f t="shared" si="230"/>
        <v>0</v>
      </c>
    </row>
    <row r="142" spans="1:53" ht="15" customHeight="1" x14ac:dyDescent="0.25">
      <c r="A142" s="36" t="s">
        <v>9</v>
      </c>
      <c r="B142" s="82"/>
      <c r="C142" s="31"/>
      <c r="D142" s="31"/>
      <c r="E142" s="31"/>
      <c r="F142" s="31"/>
      <c r="G142" s="31"/>
      <c r="H142" s="31"/>
      <c r="I142" s="31"/>
      <c r="J142" s="60">
        <f t="shared" si="220"/>
        <v>0</v>
      </c>
      <c r="K142" s="60"/>
      <c r="L142" s="31"/>
      <c r="M142" s="31"/>
      <c r="N142" s="31"/>
      <c r="O142" s="31"/>
      <c r="P142" s="31"/>
      <c r="Q142" s="31"/>
      <c r="R142" s="31"/>
      <c r="S142" s="60">
        <f t="shared" si="222"/>
        <v>0</v>
      </c>
      <c r="T142" s="60"/>
      <c r="U142" s="31"/>
      <c r="V142" s="31"/>
      <c r="W142" s="31"/>
      <c r="X142" s="31"/>
      <c r="Y142" s="31"/>
      <c r="Z142" s="31"/>
      <c r="AA142" s="31"/>
      <c r="AB142" s="60">
        <f t="shared" si="224"/>
        <v>0</v>
      </c>
      <c r="AC142" s="60"/>
      <c r="AD142" s="31"/>
      <c r="AE142" s="31"/>
      <c r="AF142" s="31"/>
      <c r="AG142" s="31"/>
      <c r="AH142" s="31"/>
      <c r="AI142" s="31"/>
      <c r="AJ142" s="31"/>
      <c r="AK142" s="60">
        <f t="shared" si="226"/>
        <v>0</v>
      </c>
      <c r="AL142" s="60"/>
      <c r="AM142" s="31"/>
      <c r="AN142" s="31"/>
      <c r="AO142" s="31"/>
      <c r="AP142" s="31"/>
      <c r="AQ142" s="31"/>
      <c r="AR142" s="31"/>
      <c r="AS142" s="31"/>
      <c r="AT142" s="60">
        <f t="shared" si="228"/>
        <v>0</v>
      </c>
      <c r="AU142" s="60"/>
      <c r="AV142" s="31"/>
      <c r="AW142" s="31"/>
      <c r="AX142" s="60">
        <f t="shared" ref="AX142:AX144" si="236">SUM(AV142:AW142)</f>
        <v>0</v>
      </c>
      <c r="AY142" s="60">
        <f t="shared" si="230"/>
        <v>0</v>
      </c>
    </row>
    <row r="143" spans="1:53" ht="15" customHeight="1" x14ac:dyDescent="0.25">
      <c r="A143" s="21" t="s">
        <v>11</v>
      </c>
      <c r="B143" s="81"/>
      <c r="C143" s="31"/>
      <c r="D143" s="31"/>
      <c r="E143" s="31"/>
      <c r="F143" s="31"/>
      <c r="G143" s="31"/>
      <c r="H143" s="31"/>
      <c r="I143" s="31"/>
      <c r="J143" s="60">
        <f t="shared" si="220"/>
        <v>0</v>
      </c>
      <c r="K143" s="60"/>
      <c r="L143" s="31"/>
      <c r="M143" s="31"/>
      <c r="N143" s="31"/>
      <c r="O143" s="31"/>
      <c r="P143" s="31"/>
      <c r="Q143" s="31"/>
      <c r="R143" s="31"/>
      <c r="S143" s="60">
        <f t="shared" si="222"/>
        <v>0</v>
      </c>
      <c r="T143" s="60"/>
      <c r="U143" s="31"/>
      <c r="V143" s="31"/>
      <c r="W143" s="31"/>
      <c r="X143" s="31"/>
      <c r="Y143" s="31"/>
      <c r="Z143" s="31"/>
      <c r="AA143" s="31"/>
      <c r="AB143" s="60">
        <f t="shared" si="224"/>
        <v>0</v>
      </c>
      <c r="AC143" s="60"/>
      <c r="AD143" s="31"/>
      <c r="AE143" s="31"/>
      <c r="AF143" s="31"/>
      <c r="AG143" s="31"/>
      <c r="AH143" s="31"/>
      <c r="AI143" s="31"/>
      <c r="AJ143" s="31"/>
      <c r="AK143" s="60">
        <f t="shared" si="226"/>
        <v>0</v>
      </c>
      <c r="AL143" s="60"/>
      <c r="AM143" s="31"/>
      <c r="AN143" s="31"/>
      <c r="AO143" s="31"/>
      <c r="AP143" s="31"/>
      <c r="AQ143" s="31"/>
      <c r="AR143" s="31"/>
      <c r="AS143" s="31"/>
      <c r="AT143" s="60">
        <f t="shared" si="228"/>
        <v>0</v>
      </c>
      <c r="AU143" s="60"/>
      <c r="AV143" s="31"/>
      <c r="AW143" s="31"/>
      <c r="AX143" s="60">
        <f t="shared" si="236"/>
        <v>0</v>
      </c>
      <c r="AY143" s="60">
        <f t="shared" si="230"/>
        <v>0</v>
      </c>
    </row>
    <row r="144" spans="1:53" ht="15" customHeight="1" x14ac:dyDescent="0.25">
      <c r="A144" s="36" t="s">
        <v>10</v>
      </c>
      <c r="B144" s="82"/>
      <c r="C144" s="31"/>
      <c r="D144" s="31"/>
      <c r="E144" s="31"/>
      <c r="F144" s="31"/>
      <c r="G144" s="31"/>
      <c r="H144" s="31"/>
      <c r="I144" s="31"/>
      <c r="J144" s="60">
        <f t="shared" si="220"/>
        <v>0</v>
      </c>
      <c r="K144" s="60"/>
      <c r="L144" s="31"/>
      <c r="M144" s="31"/>
      <c r="N144" s="31"/>
      <c r="O144" s="31"/>
      <c r="P144" s="31"/>
      <c r="Q144" s="31"/>
      <c r="R144" s="31"/>
      <c r="S144" s="60">
        <f t="shared" si="222"/>
        <v>0</v>
      </c>
      <c r="T144" s="60"/>
      <c r="U144" s="31"/>
      <c r="V144" s="31"/>
      <c r="W144" s="31"/>
      <c r="X144" s="31"/>
      <c r="Y144" s="31"/>
      <c r="Z144" s="31"/>
      <c r="AA144" s="31"/>
      <c r="AB144" s="60">
        <f t="shared" si="224"/>
        <v>0</v>
      </c>
      <c r="AC144" s="60"/>
      <c r="AD144" s="31"/>
      <c r="AE144" s="31"/>
      <c r="AF144" s="31"/>
      <c r="AG144" s="31"/>
      <c r="AH144" s="31"/>
      <c r="AI144" s="31"/>
      <c r="AJ144" s="31"/>
      <c r="AK144" s="60">
        <f t="shared" si="226"/>
        <v>0</v>
      </c>
      <c r="AL144" s="60"/>
      <c r="AM144" s="31"/>
      <c r="AN144" s="31"/>
      <c r="AO144" s="31"/>
      <c r="AP144" s="31"/>
      <c r="AQ144" s="31"/>
      <c r="AR144" s="31"/>
      <c r="AS144" s="31"/>
      <c r="AT144" s="60">
        <f t="shared" si="228"/>
        <v>0</v>
      </c>
      <c r="AU144" s="60"/>
      <c r="AV144" s="31"/>
      <c r="AW144" s="31"/>
      <c r="AX144" s="60">
        <f t="shared" si="236"/>
        <v>0</v>
      </c>
      <c r="AY144" s="60">
        <f t="shared" si="230"/>
        <v>0</v>
      </c>
    </row>
    <row r="145" spans="1:58" s="33" customFormat="1" ht="15" customHeight="1" x14ac:dyDescent="0.25">
      <c r="A145" s="36" t="s">
        <v>44</v>
      </c>
      <c r="B145" s="82"/>
      <c r="C145" s="60">
        <f>IF(C133="nuit",C136*0.02,0)</f>
        <v>0</v>
      </c>
      <c r="D145" s="60">
        <f>IF(D133="nuit",D136*0.02,0)</f>
        <v>0</v>
      </c>
      <c r="E145" s="60">
        <f t="shared" ref="E145:I145" si="237">IF(E133="nuit",E136*0.02,0)</f>
        <v>0</v>
      </c>
      <c r="F145" s="60">
        <f t="shared" si="237"/>
        <v>0</v>
      </c>
      <c r="G145" s="60">
        <f>IF(G133="nuit",G136*0.02,0)</f>
        <v>0</v>
      </c>
      <c r="H145" s="60">
        <f t="shared" si="237"/>
        <v>0</v>
      </c>
      <c r="I145" s="60">
        <f t="shared" si="237"/>
        <v>0</v>
      </c>
      <c r="J145" s="60">
        <f t="shared" si="220"/>
        <v>0</v>
      </c>
      <c r="K145" s="60"/>
      <c r="L145" s="60">
        <f>IF(L133="nuit",L136*0.02,0)</f>
        <v>0</v>
      </c>
      <c r="M145" s="60">
        <f>IF(M133="nuit",M136*0.02,0)</f>
        <v>0</v>
      </c>
      <c r="N145" s="60">
        <f t="shared" ref="N145:R145" si="238">IF(N133="nuit",N136*0.02,0)</f>
        <v>0</v>
      </c>
      <c r="O145" s="60">
        <f t="shared" si="238"/>
        <v>0</v>
      </c>
      <c r="P145" s="60">
        <f>IF(P133="nuit",P136*0.02,0)</f>
        <v>0</v>
      </c>
      <c r="Q145" s="60">
        <f t="shared" si="238"/>
        <v>0</v>
      </c>
      <c r="R145" s="60">
        <f t="shared" si="238"/>
        <v>0</v>
      </c>
      <c r="S145" s="60">
        <f t="shared" si="222"/>
        <v>0</v>
      </c>
      <c r="T145" s="60"/>
      <c r="U145" s="60">
        <f>IF(U133="nuit",U136*0.02,0)</f>
        <v>0</v>
      </c>
      <c r="V145" s="60">
        <f>IF(V133="nuit",V136*0.02,0)</f>
        <v>0</v>
      </c>
      <c r="W145" s="60">
        <f t="shared" ref="W145:AA145" si="239">IF(W133="nuit",W136*0.02,0)</f>
        <v>0</v>
      </c>
      <c r="X145" s="60">
        <f t="shared" si="239"/>
        <v>0</v>
      </c>
      <c r="Y145" s="60">
        <f>IF(Y133="nuit",Y136*0.02,0)</f>
        <v>0</v>
      </c>
      <c r="Z145" s="60">
        <f t="shared" si="239"/>
        <v>0</v>
      </c>
      <c r="AA145" s="60">
        <f t="shared" si="239"/>
        <v>0</v>
      </c>
      <c r="AB145" s="60">
        <f t="shared" si="224"/>
        <v>0</v>
      </c>
      <c r="AC145" s="60"/>
      <c r="AD145" s="60">
        <f>IF(AD133="nuit",AD136*0.02,0)</f>
        <v>0</v>
      </c>
      <c r="AE145" s="60">
        <f>IF(AE133="nuit",AE136*0.02,0)</f>
        <v>0</v>
      </c>
      <c r="AF145" s="60">
        <f t="shared" ref="AF145:AJ145" si="240">IF(AF133="nuit",AF136*0.02,0)</f>
        <v>0</v>
      </c>
      <c r="AG145" s="60">
        <f t="shared" si="240"/>
        <v>0</v>
      </c>
      <c r="AH145" s="60">
        <f>IF(AH133="nuit",AH136*0.02,0)</f>
        <v>0</v>
      </c>
      <c r="AI145" s="60">
        <f t="shared" si="240"/>
        <v>0</v>
      </c>
      <c r="AJ145" s="60">
        <f t="shared" si="240"/>
        <v>0</v>
      </c>
      <c r="AK145" s="60">
        <f t="shared" si="226"/>
        <v>0</v>
      </c>
      <c r="AL145" s="60"/>
      <c r="AM145" s="60">
        <f>IF(AM133="nuit",AM136*0.02,0)</f>
        <v>0</v>
      </c>
      <c r="AN145" s="60">
        <f>IF(AN133="nuit",AN136*0.02,0)</f>
        <v>0</v>
      </c>
      <c r="AO145" s="60">
        <f t="shared" ref="AO145:AS145" si="241">IF(AO133="nuit",AO136*0.02,0)</f>
        <v>0</v>
      </c>
      <c r="AP145" s="60">
        <f t="shared" si="241"/>
        <v>0</v>
      </c>
      <c r="AQ145" s="60">
        <f>IF(AQ133="nuit",AQ136*0.02,0)</f>
        <v>0</v>
      </c>
      <c r="AR145" s="60">
        <f t="shared" si="241"/>
        <v>0</v>
      </c>
      <c r="AS145" s="60">
        <f t="shared" si="241"/>
        <v>0</v>
      </c>
      <c r="AT145" s="60">
        <f t="shared" si="228"/>
        <v>0</v>
      </c>
      <c r="AU145" s="60"/>
      <c r="AV145" s="60">
        <f>IF(AV133="nuit",AV136*0.02,0)</f>
        <v>0</v>
      </c>
      <c r="AW145" s="60">
        <f>IF(AW133="nuit",AW136*0.02,0)</f>
        <v>0</v>
      </c>
      <c r="AX145" s="60">
        <f>SUM(AV145:AW145)</f>
        <v>0</v>
      </c>
      <c r="AY145" s="60">
        <f>J145+S145+AB145+AK145+AT145+AX145</f>
        <v>0</v>
      </c>
      <c r="AZ145" s="52"/>
      <c r="BA145" s="52"/>
      <c r="BB145" s="52"/>
      <c r="BC145" s="52"/>
      <c r="BD145" s="52"/>
      <c r="BE145" s="52"/>
      <c r="BF145" s="35"/>
    </row>
    <row r="146" spans="1:58" ht="15" customHeight="1" x14ac:dyDescent="0.25">
      <c r="A146" s="21" t="s">
        <v>31</v>
      </c>
      <c r="B146" s="81"/>
      <c r="C146" s="31"/>
      <c r="D146" s="31"/>
      <c r="E146" s="31"/>
      <c r="F146" s="31"/>
      <c r="G146" s="31"/>
      <c r="H146" s="37"/>
      <c r="I146" s="37"/>
      <c r="J146" s="64"/>
      <c r="K146" s="64"/>
      <c r="L146" s="37"/>
      <c r="M146" s="37"/>
      <c r="N146" s="37"/>
      <c r="O146" s="37"/>
      <c r="P146" s="37"/>
      <c r="Q146" s="37"/>
      <c r="R146" s="37"/>
      <c r="S146" s="64"/>
      <c r="T146" s="64"/>
      <c r="U146" s="37"/>
      <c r="V146" s="37"/>
      <c r="W146" s="37"/>
      <c r="X146" s="37"/>
      <c r="Y146" s="37"/>
      <c r="Z146" s="37"/>
      <c r="AA146" s="37"/>
      <c r="AB146" s="64"/>
      <c r="AC146" s="64"/>
      <c r="AD146" s="37"/>
      <c r="AE146" s="37"/>
      <c r="AF146" s="37"/>
      <c r="AG146" s="37"/>
      <c r="AH146" s="37"/>
      <c r="AI146" s="37"/>
      <c r="AJ146" s="37"/>
      <c r="AK146" s="64"/>
      <c r="AL146" s="64"/>
      <c r="AM146" s="37"/>
      <c r="AN146" s="37"/>
      <c r="AO146" s="37"/>
      <c r="AP146" s="37"/>
      <c r="AQ146" s="37"/>
      <c r="AR146" s="37"/>
      <c r="AS146" s="37"/>
      <c r="AT146" s="64"/>
      <c r="AU146" s="64"/>
      <c r="AV146" s="37"/>
      <c r="AW146" s="37"/>
      <c r="AX146" s="64"/>
      <c r="AY146" s="65"/>
    </row>
    <row r="147" spans="1:58" ht="15" customHeight="1" x14ac:dyDescent="0.25">
      <c r="A147" s="38"/>
      <c r="B147" s="38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69"/>
    </row>
    <row r="148" spans="1:58" ht="27.6" x14ac:dyDescent="0.25">
      <c r="A148" s="21"/>
      <c r="B148" s="21"/>
      <c r="C148" s="24" t="s">
        <v>27</v>
      </c>
      <c r="D148" s="24"/>
      <c r="E148" s="24"/>
      <c r="F148" s="24"/>
      <c r="G148" s="24"/>
      <c r="H148" s="95">
        <f>Année_Calendaire</f>
        <v>2016</v>
      </c>
      <c r="I148" s="95"/>
      <c r="J148" s="88"/>
      <c r="K148" s="88"/>
      <c r="L148" s="31"/>
      <c r="M148" s="31"/>
      <c r="N148" s="31"/>
      <c r="O148" s="31"/>
      <c r="P148" s="31"/>
      <c r="Q148" s="31"/>
      <c r="R148" s="31"/>
      <c r="S148" s="88"/>
      <c r="T148" s="88"/>
      <c r="U148" s="24" t="s">
        <v>27</v>
      </c>
      <c r="V148" s="24"/>
      <c r="W148" s="24"/>
      <c r="X148" s="24"/>
      <c r="Y148" s="24"/>
      <c r="Z148" s="95">
        <f>Année_Calendaire</f>
        <v>2016</v>
      </c>
      <c r="AA148" s="95"/>
      <c r="AB148" s="88"/>
      <c r="AC148" s="88"/>
      <c r="AD148" s="31"/>
      <c r="AE148" s="31"/>
      <c r="AF148" s="31"/>
      <c r="AG148" s="31"/>
      <c r="AH148" s="31"/>
      <c r="AI148" s="31"/>
      <c r="AJ148" s="31"/>
      <c r="AK148" s="88"/>
      <c r="AL148" s="88"/>
      <c r="AM148" s="24" t="s">
        <v>27</v>
      </c>
      <c r="AN148" s="24"/>
      <c r="AO148" s="24"/>
      <c r="AP148" s="24"/>
      <c r="AQ148" s="24"/>
      <c r="AR148" s="95">
        <f>Année_Calendaire</f>
        <v>2016</v>
      </c>
      <c r="AS148" s="95"/>
      <c r="AT148" s="88"/>
      <c r="AU148" s="88"/>
      <c r="AV148" s="31"/>
      <c r="AW148" s="31"/>
      <c r="AX148" s="88"/>
    </row>
    <row r="149" spans="1:58" ht="29.25" customHeight="1" x14ac:dyDescent="0.25">
      <c r="A149" s="31"/>
      <c r="B149" s="60"/>
      <c r="C149" s="62" t="s">
        <v>13</v>
      </c>
      <c r="D149" s="62" t="s">
        <v>14</v>
      </c>
      <c r="E149" s="62" t="s">
        <v>15</v>
      </c>
      <c r="F149" s="62" t="s">
        <v>16</v>
      </c>
      <c r="G149" s="62" t="s">
        <v>17</v>
      </c>
      <c r="H149" s="62" t="s">
        <v>18</v>
      </c>
      <c r="I149" s="62" t="s">
        <v>19</v>
      </c>
      <c r="J149" s="96" t="s">
        <v>32</v>
      </c>
      <c r="K149" s="87"/>
      <c r="L149" s="62" t="s">
        <v>13</v>
      </c>
      <c r="M149" s="62" t="s">
        <v>14</v>
      </c>
      <c r="N149" s="62" t="s">
        <v>15</v>
      </c>
      <c r="O149" s="62" t="s">
        <v>16</v>
      </c>
      <c r="P149" s="62" t="s">
        <v>17</v>
      </c>
      <c r="Q149" s="62" t="s">
        <v>18</v>
      </c>
      <c r="R149" s="62" t="s">
        <v>19</v>
      </c>
      <c r="S149" s="96" t="s">
        <v>32</v>
      </c>
      <c r="T149" s="87"/>
      <c r="U149" s="62" t="s">
        <v>13</v>
      </c>
      <c r="V149" s="62" t="s">
        <v>14</v>
      </c>
      <c r="W149" s="62" t="s">
        <v>15</v>
      </c>
      <c r="X149" s="62" t="s">
        <v>16</v>
      </c>
      <c r="Y149" s="62" t="s">
        <v>17</v>
      </c>
      <c r="Z149" s="62" t="s">
        <v>18</v>
      </c>
      <c r="AA149" s="62" t="s">
        <v>19</v>
      </c>
      <c r="AB149" s="96" t="s">
        <v>32</v>
      </c>
      <c r="AC149" s="87"/>
      <c r="AD149" s="62" t="s">
        <v>13</v>
      </c>
      <c r="AE149" s="62" t="s">
        <v>14</v>
      </c>
      <c r="AF149" s="62" t="s">
        <v>15</v>
      </c>
      <c r="AG149" s="62" t="s">
        <v>16</v>
      </c>
      <c r="AH149" s="62" t="s">
        <v>17</v>
      </c>
      <c r="AI149" s="62" t="s">
        <v>18</v>
      </c>
      <c r="AJ149" s="62" t="s">
        <v>19</v>
      </c>
      <c r="AK149" s="96" t="s">
        <v>32</v>
      </c>
      <c r="AL149" s="87"/>
      <c r="AM149" s="62" t="s">
        <v>13</v>
      </c>
      <c r="AN149" s="62" t="s">
        <v>14</v>
      </c>
      <c r="AO149" s="62" t="s">
        <v>15</v>
      </c>
      <c r="AP149" s="62" t="s">
        <v>16</v>
      </c>
      <c r="AQ149" s="62" t="s">
        <v>17</v>
      </c>
      <c r="AR149" s="62" t="s">
        <v>18</v>
      </c>
      <c r="AS149" s="62" t="s">
        <v>19</v>
      </c>
      <c r="AT149" s="96" t="s">
        <v>32</v>
      </c>
      <c r="AU149" s="87"/>
      <c r="AV149" s="62" t="s">
        <v>13</v>
      </c>
      <c r="AW149" s="62" t="s">
        <v>14</v>
      </c>
      <c r="AX149" s="96" t="s">
        <v>32</v>
      </c>
      <c r="AY149" s="96" t="s">
        <v>35</v>
      </c>
      <c r="AZ149" s="97">
        <f>AY156+AY157+AY158</f>
        <v>0</v>
      </c>
      <c r="BA149" s="97">
        <f>AZ149+BA131</f>
        <v>15</v>
      </c>
    </row>
    <row r="150" spans="1:58" ht="15" customHeight="1" x14ac:dyDescent="0.25">
      <c r="A150" s="48"/>
      <c r="B150" s="83"/>
      <c r="C150" s="67" t="str">
        <f>IF(DAY(Sep_Dim1)=1,"",IF(AND(YEAR(Sep_Dim1+1)=Année_Calendaire,MONTH(Sep_Dim1+1)=9),Sep_Dim1+1,""))</f>
        <v/>
      </c>
      <c r="D150" s="67" t="str">
        <f>IF(DAY(Sep_Dim1)=1,"",IF(AND(YEAR(Sep_Dim1+2)=Année_Calendaire,MONTH(Sep_Dim1+2)=9),Sep_Dim1+2,""))</f>
        <v/>
      </c>
      <c r="E150" s="67" t="str">
        <f>IF(DAY(Sep_Dim1)=1,"",IF(AND(YEAR(Sep_Dim1+3)=Année_Calendaire,MONTH(Sep_Dim1+3)=9),Sep_Dim1+3,""))</f>
        <v/>
      </c>
      <c r="F150" s="67">
        <f>IF(DAY(Sep_Dim1)=1,"",IF(AND(YEAR(Sep_Dim1+4)=Année_Calendaire,MONTH(Sep_Dim1+4)=9),Sep_Dim1+4,""))</f>
        <v>42614</v>
      </c>
      <c r="G150" s="67">
        <f>IF(DAY(Sep_Dim1)=1,"",IF(AND(YEAR(Sep_Dim1+5)=Année_Calendaire,MONTH(Sep_Dim1+5)=9),Sep_Dim1+5,""))</f>
        <v>42615</v>
      </c>
      <c r="H150" s="67">
        <f>IF(DAY(Sep_Dim1)=1,"",IF(AND(YEAR(Sep_Dim1+6)=Année_Calendaire,MONTH(Sep_Dim1+6)=9),Sep_Dim1+6,""))</f>
        <v>42616</v>
      </c>
      <c r="I150" s="67">
        <f>IF(DAY(Sep_Dim1)=1,IF(AND(YEAR(Sep_Dim1)=Année_Calendaire,MONTH(Sep_Dim1)=9),Sep_Dim1,""),IF(AND(YEAR(Sep_Dim1+7)=Année_Calendaire,MONTH(Sep_Dim1+7)=9),Sep_Dim1+7,""))</f>
        <v>42617</v>
      </c>
      <c r="J150" s="96"/>
      <c r="K150" s="87"/>
      <c r="L150" s="67">
        <f>IF(DAY(Sep_Dim1)=1,IF(AND(YEAR(Sep_Dim1+1)=Année_Calendaire,MONTH(Sep_Dim1+1)=9),Sep_Dim1+1,""),IF(AND(YEAR(Sep_Dim1+8)=Année_Calendaire,MONTH(Sep_Dim1+8)=9),Sep_Dim1+8,""))</f>
        <v>42618</v>
      </c>
      <c r="M150" s="67">
        <f>IF(DAY(Sep_Dim1)=1,IF(AND(YEAR(Sep_Dim1+2)=Année_Calendaire,MONTH(Sep_Dim1+2)=9),Sep_Dim1+2,""),IF(AND(YEAR(Sep_Dim1+9)=Année_Calendaire,MONTH(Sep_Dim1+9)=9),Sep_Dim1+9,""))</f>
        <v>42619</v>
      </c>
      <c r="N150" s="67">
        <f>IF(DAY(Sep_Dim1)=1,IF(AND(YEAR(Sep_Dim1+3)=Année_Calendaire,MONTH(Sep_Dim1+3)=9),Sep_Dim1+3,""),IF(AND(YEAR(Sep_Dim1+10)=Année_Calendaire,MONTH(Sep_Dim1+10)=9),Sep_Dim1+10,""))</f>
        <v>42620</v>
      </c>
      <c r="O150" s="67">
        <f>IF(DAY(Sep_Dim1)=1,IF(AND(YEAR(Sep_Dim1+4)=Année_Calendaire,MONTH(Sep_Dim1+4)=9),Sep_Dim1+4,""),IF(AND(YEAR(Sep_Dim1+11)=Année_Calendaire,MONTH(Sep_Dim1+11)=9),Sep_Dim1+11,""))</f>
        <v>42621</v>
      </c>
      <c r="P150" s="67">
        <f>IF(DAY(Sep_Dim1)=1,IF(AND(YEAR(Sep_Dim1+5)=Année_Calendaire,MONTH(Sep_Dim1+5)=9),Sep_Dim1+5,""),IF(AND(YEAR(Sep_Dim1+12)=Année_Calendaire,MONTH(Sep_Dim1+12)=9),Sep_Dim1+12,""))</f>
        <v>42622</v>
      </c>
      <c r="Q150" s="67">
        <f>IF(DAY(Sep_Dim1)=1,IF(AND(YEAR(Sep_Dim1+6)=Année_Calendaire,MONTH(Sep_Dim1+6)=9),Sep_Dim1+6,""),IF(AND(YEAR(Sep_Dim1+13)=Année_Calendaire,MONTH(Sep_Dim1+13)=9),Sep_Dim1+13,""))</f>
        <v>42623</v>
      </c>
      <c r="R150" s="67">
        <f>IF(DAY(Sep_Dim1)=1,IF(AND(YEAR(Sep_Dim1+7)=Année_Calendaire,MONTH(Sep_Dim1+7)=9),Sep_Dim1+7,""),IF(AND(YEAR(Sep_Dim1+14)=Année_Calendaire,MONTH(Sep_Dim1+14)=9),Sep_Dim1+14,""))</f>
        <v>42624</v>
      </c>
      <c r="S150" s="96"/>
      <c r="T150" s="87"/>
      <c r="U150" s="67">
        <f>IF(DAY(Sep_Dim1)=1,IF(AND(YEAR(Sep_Dim1+8)=Année_Calendaire,MONTH(Sep_Dim1+8)=9),Sep_Dim1+8,""),IF(AND(YEAR(Sep_Dim1+15)=Année_Calendaire,MONTH(Sep_Dim1+15)=9),Sep_Dim1+15,""))</f>
        <v>42625</v>
      </c>
      <c r="V150" s="67">
        <f>IF(DAY(Sep_Dim1)=1,IF(AND(YEAR(Sep_Dim1+9)=Année_Calendaire,MONTH(Sep_Dim1+9)=9),Sep_Dim1+9,""),IF(AND(YEAR(Sep_Dim1+16)=Année_Calendaire,MONTH(Sep_Dim1+16)=9),Sep_Dim1+16,""))</f>
        <v>42626</v>
      </c>
      <c r="W150" s="67">
        <f>IF(DAY(Sep_Dim1)=1,IF(AND(YEAR(Sep_Dim1+10)=Année_Calendaire,MONTH(Sep_Dim1+10)=9),Sep_Dim1+10,""),IF(AND(YEAR(Sep_Dim1+17)=Année_Calendaire,MONTH(Sep_Dim1+17)=9),Sep_Dim1+17,""))</f>
        <v>42627</v>
      </c>
      <c r="X150" s="67">
        <f>IF(DAY(Sep_Dim1)=1,IF(AND(YEAR(Sep_Dim1+11)=Année_Calendaire,MONTH(Sep_Dim1+11)=9),Sep_Dim1+11,""),IF(AND(YEAR(Sep_Dim1+18)=Année_Calendaire,MONTH(Sep_Dim1+18)=9),Sep_Dim1+18,""))</f>
        <v>42628</v>
      </c>
      <c r="Y150" s="67">
        <f>IF(DAY(Sep_Dim1)=1,IF(AND(YEAR(Sep_Dim1+12)=Année_Calendaire,MONTH(Sep_Dim1+12)=9),Sep_Dim1+12,""),IF(AND(YEAR(Sep_Dim1+19)=Année_Calendaire,MONTH(Sep_Dim1+19)=9),Sep_Dim1+19,""))</f>
        <v>42629</v>
      </c>
      <c r="Z150" s="67">
        <f>IF(DAY(Sep_Dim1)=1,IF(AND(YEAR(Sep_Dim1+13)=Année_Calendaire,MONTH(Sep_Dim1+13)=9),Sep_Dim1+13,""),IF(AND(YEAR(Sep_Dim1+20)=Année_Calendaire,MONTH(Sep_Dim1+20)=9),Sep_Dim1+20,""))</f>
        <v>42630</v>
      </c>
      <c r="AA150" s="67">
        <f>IF(DAY(Sep_Dim1)=1,IF(AND(YEAR(Sep_Dim1+14)=Année_Calendaire,MONTH(Sep_Dim1+14)=9),Sep_Dim1+14,""),IF(AND(YEAR(Sep_Dim1+21)=Année_Calendaire,MONTH(Sep_Dim1+21)=9),Sep_Dim1+21,""))</f>
        <v>42631</v>
      </c>
      <c r="AB150" s="96"/>
      <c r="AC150" s="87"/>
      <c r="AD150" s="67">
        <f>IF(DAY(Sep_Dim1)=1,IF(AND(YEAR(Sep_Dim1+15)=Année_Calendaire,MONTH(Sep_Dim1+15)=9),Sep_Dim1+15,""),IF(AND(YEAR(Sep_Dim1+22)=Année_Calendaire,MONTH(Sep_Dim1+22)=9),Sep_Dim1+22,""))</f>
        <v>42632</v>
      </c>
      <c r="AE150" s="67">
        <f>IF(DAY(Sep_Dim1)=1,IF(AND(YEAR(Sep_Dim1+16)=Année_Calendaire,MONTH(Sep_Dim1+16)=9),Sep_Dim1+16,""),IF(AND(YEAR(Sep_Dim1+23)=Année_Calendaire,MONTH(Sep_Dim1+23)=9),Sep_Dim1+23,""))</f>
        <v>42633</v>
      </c>
      <c r="AF150" s="67">
        <f>IF(DAY(Sep_Dim1)=1,IF(AND(YEAR(Sep_Dim1+17)=Année_Calendaire,MONTH(Sep_Dim1+17)=9),Sep_Dim1+17,""),IF(AND(YEAR(Sep_Dim1+24)=Année_Calendaire,MONTH(Sep_Dim1+24)=9),Sep_Dim1+24,""))</f>
        <v>42634</v>
      </c>
      <c r="AG150" s="67">
        <f>IF(DAY(Sep_Dim1)=1,IF(AND(YEAR(Sep_Dim1+18)=Année_Calendaire,MONTH(Sep_Dim1+18)=9),Sep_Dim1+18,""),IF(AND(YEAR(Sep_Dim1+25)=Année_Calendaire,MONTH(Sep_Dim1+25)=9),Sep_Dim1+25,""))</f>
        <v>42635</v>
      </c>
      <c r="AH150" s="67">
        <f>IF(DAY(Sep_Dim1)=1,IF(AND(YEAR(Sep_Dim1+19)=Année_Calendaire,MONTH(Sep_Dim1+19)=9),Sep_Dim1+19,""),IF(AND(YEAR(Sep_Dim1+26)=Année_Calendaire,MONTH(Sep_Dim1+26)=9),Sep_Dim1+26,""))</f>
        <v>42636</v>
      </c>
      <c r="AI150" s="67">
        <f>IF(DAY(Sep_Dim1)=1,IF(AND(YEAR(Sep_Dim1+20)=Année_Calendaire,MONTH(Sep_Dim1+20)=9),Sep_Dim1+20,""),IF(AND(YEAR(Sep_Dim1+27)=Année_Calendaire,MONTH(Sep_Dim1+27)=9),Sep_Dim1+27,""))</f>
        <v>42637</v>
      </c>
      <c r="AJ150" s="67">
        <f>IF(DAY(Sep_Dim1)=1,IF(AND(YEAR(Sep_Dim1+21)=Année_Calendaire,MONTH(Sep_Dim1+21)=9),Sep_Dim1+21,""),IF(AND(YEAR(Sep_Dim1+28)=Année_Calendaire,MONTH(Sep_Dim1+28)=9),Sep_Dim1+28,""))</f>
        <v>42638</v>
      </c>
      <c r="AK150" s="96"/>
      <c r="AL150" s="87"/>
      <c r="AM150" s="67">
        <f>IF(DAY(Sep_Dim1)=1,IF(AND(YEAR(Sep_Dim1+22)=Année_Calendaire,MONTH(Sep_Dim1+22)=9),Sep_Dim1+22,""),IF(AND(YEAR(Sep_Dim1+29)=Année_Calendaire,MONTH(Sep_Dim1+29)=9),Sep_Dim1+29,""))</f>
        <v>42639</v>
      </c>
      <c r="AN150" s="67">
        <f>IF(DAY(Sep_Dim1)=1,IF(AND(YEAR(Sep_Dim1+23)=Année_Calendaire,MONTH(Sep_Dim1+23)=9),Sep_Dim1+23,""),IF(AND(YEAR(Sep_Dim1+30)=Année_Calendaire,MONTH(Sep_Dim1+30)=9),Sep_Dim1+30,""))</f>
        <v>42640</v>
      </c>
      <c r="AO150" s="67">
        <f>IF(DAY(Sep_Dim1)=1,IF(AND(YEAR(Sep_Dim1+24)=Année_Calendaire,MONTH(Sep_Dim1+24)=9),Sep_Dim1+24,""),IF(AND(YEAR(Sep_Dim1+31)=Année_Calendaire,MONTH(Sep_Dim1+31)=9),Sep_Dim1+31,""))</f>
        <v>42641</v>
      </c>
      <c r="AP150" s="67">
        <f>IF(DAY(Sep_Dim1)=1,IF(AND(YEAR(Sep_Dim1+25)=Année_Calendaire,MONTH(Sep_Dim1+25)=9),Sep_Dim1+25,""),IF(AND(YEAR(Sep_Dim1+32)=Année_Calendaire,MONTH(Sep_Dim1+32)=9),Sep_Dim1+32,""))</f>
        <v>42642</v>
      </c>
      <c r="AQ150" s="67">
        <f>IF(DAY(Sep_Dim1)=1,IF(AND(YEAR(Sep_Dim1+26)=Année_Calendaire,MONTH(Sep_Dim1+26)=9),Sep_Dim1+26,""),IF(AND(YEAR(Sep_Dim1+33)=Année_Calendaire,MONTH(Sep_Dim1+33)=9),Sep_Dim1+33,""))</f>
        <v>42643</v>
      </c>
      <c r="AR150" s="67" t="str">
        <f>IF(DAY(Sep_Dim1)=1,IF(AND(YEAR(Sep_Dim1+27)=Année_Calendaire,MONTH(Sep_Dim1+27)=9),Sep_Dim1+27,""),IF(AND(YEAR(Sep_Dim1+34)=Année_Calendaire,MONTH(Sep_Dim1+34)=9),Sep_Dim1+34,""))</f>
        <v/>
      </c>
      <c r="AS150" s="67" t="str">
        <f>IF(DAY(Sep_Dim1)=1,IF(AND(YEAR(Sep_Dim1+28)=Année_Calendaire,MONTH(Sep_Dim1+28)=9),Sep_Dim1+28,""),IF(AND(YEAR(Sep_Dim1+35)=Année_Calendaire,MONTH(Sep_Dim1+35)=9),Sep_Dim1+35,""))</f>
        <v/>
      </c>
      <c r="AT150" s="96"/>
      <c r="AU150" s="87"/>
      <c r="AV150" s="61" t="str">
        <f>IF(DAY(Sep_Dim1)=1,IF(AND(YEAR(Sep_Dim1+29)=Année_Calendaire,MONTH(Sep_Dim1+29)=9),Sep_Dim1+29,""),IF(AND(YEAR(Sep_Dim1+36)=Année_Calendaire,MONTH(Sep_Dim1+36)=9),Sep_Dim1+36,""))</f>
        <v/>
      </c>
      <c r="AW150" s="61" t="str">
        <f>IF(DAY(Sep_Dim1)=1,IF(AND(YEAR(Sep_Dim1+30)=Année_Calendaire,MONTH(Sep_Dim1+30)=9),Sep_Dim1+30,""),IF(AND(YEAR(Sep_Dim1+37)=Année_Calendaire,MONTH(Sep_Dim1+37)=9),Sep_Dim1+37,""))</f>
        <v/>
      </c>
      <c r="AX150" s="96"/>
      <c r="AY150" s="96"/>
      <c r="AZ150" s="97"/>
      <c r="BA150" s="97"/>
    </row>
    <row r="151" spans="1:58" ht="15" customHeight="1" x14ac:dyDescent="0.25">
      <c r="A151" s="21" t="s">
        <v>2</v>
      </c>
      <c r="B151" s="81"/>
      <c r="C151" s="31"/>
      <c r="D151" s="31"/>
      <c r="E151" s="31"/>
      <c r="F151" s="31"/>
      <c r="G151" s="31"/>
      <c r="H151" s="31"/>
      <c r="I151" s="31"/>
      <c r="J151" s="60"/>
      <c r="K151" s="60"/>
      <c r="L151" s="31"/>
      <c r="M151" s="31"/>
      <c r="N151" s="31"/>
      <c r="O151" s="31"/>
      <c r="P151" s="31"/>
      <c r="Q151" s="31"/>
      <c r="R151" s="31"/>
      <c r="S151" s="60"/>
      <c r="T151" s="60"/>
      <c r="U151" s="31"/>
      <c r="V151" s="31"/>
      <c r="W151" s="31"/>
      <c r="X151" s="31"/>
      <c r="Y151" s="31"/>
      <c r="Z151" s="31"/>
      <c r="AA151" s="31"/>
      <c r="AB151" s="60"/>
      <c r="AC151" s="60"/>
      <c r="AD151" s="31"/>
      <c r="AE151" s="31"/>
      <c r="AF151" s="31"/>
      <c r="AG151" s="31"/>
      <c r="AH151" s="31"/>
      <c r="AI151" s="31"/>
      <c r="AJ151" s="31"/>
      <c r="AK151" s="60"/>
      <c r="AL151" s="60"/>
      <c r="AM151" s="31"/>
      <c r="AN151" s="31"/>
      <c r="AO151" s="31"/>
      <c r="AP151" s="31"/>
      <c r="AQ151" s="31"/>
      <c r="AR151" s="31"/>
      <c r="AS151" s="31"/>
      <c r="AT151" s="60"/>
      <c r="AU151" s="60"/>
      <c r="AV151" s="31"/>
      <c r="AW151" s="31"/>
      <c r="AX151" s="60"/>
      <c r="AY151" s="63"/>
    </row>
    <row r="152" spans="1:58" ht="15" customHeight="1" x14ac:dyDescent="0.25">
      <c r="A152" s="21" t="s">
        <v>12</v>
      </c>
      <c r="B152" s="81"/>
      <c r="C152" s="60">
        <f t="shared" ref="C152:I152" si="242">IF(C151="Matin",1,IF(C151="AM",1,0))</f>
        <v>0</v>
      </c>
      <c r="D152" s="60">
        <f t="shared" si="242"/>
        <v>0</v>
      </c>
      <c r="E152" s="60">
        <f t="shared" si="242"/>
        <v>0</v>
      </c>
      <c r="F152" s="60">
        <f t="shared" si="242"/>
        <v>0</v>
      </c>
      <c r="G152" s="60">
        <f t="shared" si="242"/>
        <v>0</v>
      </c>
      <c r="H152" s="60">
        <f t="shared" si="242"/>
        <v>0</v>
      </c>
      <c r="I152" s="60">
        <f t="shared" si="242"/>
        <v>0</v>
      </c>
      <c r="J152" s="60">
        <f>SUM(C152:I152)</f>
        <v>0</v>
      </c>
      <c r="K152" s="60"/>
      <c r="L152" s="60">
        <f t="shared" ref="L152:R152" si="243">IF(L151="Matin",1,IF(L151="AM",1,0))</f>
        <v>0</v>
      </c>
      <c r="M152" s="60">
        <f t="shared" si="243"/>
        <v>0</v>
      </c>
      <c r="N152" s="60">
        <f t="shared" si="243"/>
        <v>0</v>
      </c>
      <c r="O152" s="60">
        <f t="shared" si="243"/>
        <v>0</v>
      </c>
      <c r="P152" s="60">
        <f t="shared" si="243"/>
        <v>0</v>
      </c>
      <c r="Q152" s="60">
        <f t="shared" si="243"/>
        <v>0</v>
      </c>
      <c r="R152" s="60">
        <f t="shared" si="243"/>
        <v>0</v>
      </c>
      <c r="S152" s="60">
        <f>SUM(L152:R152)</f>
        <v>0</v>
      </c>
      <c r="T152" s="60"/>
      <c r="U152" s="60">
        <f t="shared" ref="U152:AA152" si="244">IF(U151="Matin",1,IF(U151="AM",1,0))</f>
        <v>0</v>
      </c>
      <c r="V152" s="60">
        <f t="shared" si="244"/>
        <v>0</v>
      </c>
      <c r="W152" s="60">
        <f t="shared" si="244"/>
        <v>0</v>
      </c>
      <c r="X152" s="60">
        <f t="shared" si="244"/>
        <v>0</v>
      </c>
      <c r="Y152" s="60">
        <f t="shared" si="244"/>
        <v>0</v>
      </c>
      <c r="Z152" s="60">
        <f t="shared" si="244"/>
        <v>0</v>
      </c>
      <c r="AA152" s="60">
        <f t="shared" si="244"/>
        <v>0</v>
      </c>
      <c r="AB152" s="60">
        <f>SUM(U152:AA152)</f>
        <v>0</v>
      </c>
      <c r="AC152" s="60"/>
      <c r="AD152" s="60">
        <f t="shared" ref="AD152:AJ152" si="245">IF(AD151="Matin",1,IF(AD151="AM",1,0))</f>
        <v>0</v>
      </c>
      <c r="AE152" s="60">
        <f t="shared" si="245"/>
        <v>0</v>
      </c>
      <c r="AF152" s="60">
        <f t="shared" si="245"/>
        <v>0</v>
      </c>
      <c r="AG152" s="60">
        <f t="shared" si="245"/>
        <v>0</v>
      </c>
      <c r="AH152" s="60">
        <f t="shared" si="245"/>
        <v>0</v>
      </c>
      <c r="AI152" s="60">
        <f t="shared" si="245"/>
        <v>0</v>
      </c>
      <c r="AJ152" s="60">
        <f t="shared" si="245"/>
        <v>0</v>
      </c>
      <c r="AK152" s="60">
        <f>SUM(AD152:AJ152)</f>
        <v>0</v>
      </c>
      <c r="AL152" s="60"/>
      <c r="AM152" s="60">
        <f t="shared" ref="AM152:AS152" si="246">IF(AM151="Matin",1,IF(AM151="AM",1,0))</f>
        <v>0</v>
      </c>
      <c r="AN152" s="60">
        <f t="shared" si="246"/>
        <v>0</v>
      </c>
      <c r="AO152" s="60">
        <f t="shared" si="246"/>
        <v>0</v>
      </c>
      <c r="AP152" s="60">
        <f t="shared" si="246"/>
        <v>0</v>
      </c>
      <c r="AQ152" s="60">
        <f t="shared" si="246"/>
        <v>0</v>
      </c>
      <c r="AR152" s="60">
        <f t="shared" si="246"/>
        <v>0</v>
      </c>
      <c r="AS152" s="60">
        <f t="shared" si="246"/>
        <v>0</v>
      </c>
      <c r="AT152" s="60">
        <f>SUM(AM152:AS152)</f>
        <v>0</v>
      </c>
      <c r="AU152" s="60"/>
      <c r="AV152" s="60">
        <f t="shared" ref="AV152:AW152" si="247">IF(AV151="Matin",1,IF(AV151="AM",1,0))</f>
        <v>0</v>
      </c>
      <c r="AW152" s="60">
        <f t="shared" si="247"/>
        <v>0</v>
      </c>
      <c r="AX152" s="60">
        <f t="shared" ref="AX152:AX159" si="248">SUM(AV152:AW152)</f>
        <v>0</v>
      </c>
      <c r="AY152" s="60">
        <f>J152+S152+AB152+AK152+AT152+AX152</f>
        <v>0</v>
      </c>
    </row>
    <row r="153" spans="1:58" ht="15" customHeight="1" x14ac:dyDescent="0.25">
      <c r="A153" s="21" t="s">
        <v>4</v>
      </c>
      <c r="B153" s="81"/>
      <c r="C153" s="60">
        <f>IF(C154&gt;=1,1,0)</f>
        <v>0</v>
      </c>
      <c r="D153" s="60">
        <f>IF(D154&gt;=1,1,0)</f>
        <v>0</v>
      </c>
      <c r="E153" s="60">
        <f t="shared" ref="E153:I153" si="249">IF(E154&gt;=1,1,0)</f>
        <v>0</v>
      </c>
      <c r="F153" s="60">
        <f t="shared" si="249"/>
        <v>0</v>
      </c>
      <c r="G153" s="60">
        <f t="shared" si="249"/>
        <v>0</v>
      </c>
      <c r="H153" s="60">
        <f t="shared" si="249"/>
        <v>0</v>
      </c>
      <c r="I153" s="60">
        <f t="shared" si="249"/>
        <v>0</v>
      </c>
      <c r="J153" s="60">
        <f t="shared" ref="J153:J163" si="250">SUM(C153:I153)</f>
        <v>0</v>
      </c>
      <c r="K153" s="60"/>
      <c r="L153" s="60">
        <f>IF(L154&gt;=1,1,0)</f>
        <v>0</v>
      </c>
      <c r="M153" s="60">
        <f t="shared" ref="M153:R153" si="251">IF(M154&gt;=1,1,0)</f>
        <v>0</v>
      </c>
      <c r="N153" s="60">
        <f t="shared" si="251"/>
        <v>0</v>
      </c>
      <c r="O153" s="60">
        <f t="shared" si="251"/>
        <v>0</v>
      </c>
      <c r="P153" s="60">
        <f t="shared" si="251"/>
        <v>0</v>
      </c>
      <c r="Q153" s="60">
        <f t="shared" si="251"/>
        <v>0</v>
      </c>
      <c r="R153" s="60">
        <f t="shared" si="251"/>
        <v>0</v>
      </c>
      <c r="S153" s="60">
        <f t="shared" ref="S153:S163" si="252">SUM(L153:R153)</f>
        <v>0</v>
      </c>
      <c r="T153" s="60"/>
      <c r="U153" s="60">
        <f>IF(U154&gt;=1,1,0)</f>
        <v>0</v>
      </c>
      <c r="V153" s="60">
        <f t="shared" ref="V153:AA153" si="253">IF(V154&gt;=1,1,0)</f>
        <v>0</v>
      </c>
      <c r="W153" s="60">
        <f t="shared" si="253"/>
        <v>0</v>
      </c>
      <c r="X153" s="60">
        <f t="shared" si="253"/>
        <v>0</v>
      </c>
      <c r="Y153" s="60">
        <f t="shared" si="253"/>
        <v>0</v>
      </c>
      <c r="Z153" s="60">
        <f t="shared" si="253"/>
        <v>0</v>
      </c>
      <c r="AA153" s="60">
        <f t="shared" si="253"/>
        <v>0</v>
      </c>
      <c r="AB153" s="60">
        <f t="shared" ref="AB153:AB163" si="254">SUM(U153:AA153)</f>
        <v>0</v>
      </c>
      <c r="AC153" s="60"/>
      <c r="AD153" s="60">
        <f>IF(AD154&gt;=1,1,0)</f>
        <v>0</v>
      </c>
      <c r="AE153" s="60">
        <f t="shared" ref="AE153:AJ153" si="255">IF(AE154&gt;=1,1,0)</f>
        <v>0</v>
      </c>
      <c r="AF153" s="60">
        <f t="shared" si="255"/>
        <v>0</v>
      </c>
      <c r="AG153" s="60">
        <f t="shared" si="255"/>
        <v>0</v>
      </c>
      <c r="AH153" s="60">
        <f t="shared" si="255"/>
        <v>0</v>
      </c>
      <c r="AI153" s="60">
        <f t="shared" si="255"/>
        <v>0</v>
      </c>
      <c r="AJ153" s="60">
        <f t="shared" si="255"/>
        <v>0</v>
      </c>
      <c r="AK153" s="60">
        <f t="shared" ref="AK153:AK163" si="256">SUM(AD153:AJ153)</f>
        <v>0</v>
      </c>
      <c r="AL153" s="60"/>
      <c r="AM153" s="60">
        <f>IF(AM154&gt;=1,1,0)</f>
        <v>0</v>
      </c>
      <c r="AN153" s="60">
        <f t="shared" ref="AN153:AS153" si="257">IF(AN154&gt;=1,1,0)</f>
        <v>0</v>
      </c>
      <c r="AO153" s="60">
        <f t="shared" si="257"/>
        <v>0</v>
      </c>
      <c r="AP153" s="60">
        <f t="shared" si="257"/>
        <v>0</v>
      </c>
      <c r="AQ153" s="60">
        <f t="shared" si="257"/>
        <v>0</v>
      </c>
      <c r="AR153" s="60">
        <f t="shared" si="257"/>
        <v>0</v>
      </c>
      <c r="AS153" s="60">
        <f t="shared" si="257"/>
        <v>0</v>
      </c>
      <c r="AT153" s="60">
        <f t="shared" ref="AT153:AT163" si="258">SUM(AM153:AS153)</f>
        <v>0</v>
      </c>
      <c r="AU153" s="60"/>
      <c r="AV153" s="60">
        <f>IF(AV154&gt;=1,1,0)</f>
        <v>0</v>
      </c>
      <c r="AW153" s="60">
        <f t="shared" ref="AW153" si="259">IF(AW154&gt;=1,1,0)</f>
        <v>0</v>
      </c>
      <c r="AX153" s="60">
        <f t="shared" si="248"/>
        <v>0</v>
      </c>
      <c r="AY153" s="60">
        <f t="shared" ref="AY153:AY162" si="260">J153+S153+AB153+AK153+AT153+AX153</f>
        <v>0</v>
      </c>
    </row>
    <row r="154" spans="1:58" ht="15" customHeight="1" x14ac:dyDescent="0.25">
      <c r="A154" s="21" t="s">
        <v>3</v>
      </c>
      <c r="B154" s="81"/>
      <c r="C154" s="31"/>
      <c r="D154" s="31"/>
      <c r="E154" s="31"/>
      <c r="F154" s="31"/>
      <c r="G154" s="31"/>
      <c r="H154" s="31"/>
      <c r="I154" s="31"/>
      <c r="J154" s="60">
        <f t="shared" si="250"/>
        <v>0</v>
      </c>
      <c r="K154" s="60"/>
      <c r="L154" s="31"/>
      <c r="M154" s="31"/>
      <c r="N154" s="31"/>
      <c r="O154" s="31"/>
      <c r="P154" s="31"/>
      <c r="Q154" s="31"/>
      <c r="R154" s="31"/>
      <c r="S154" s="60">
        <f t="shared" si="252"/>
        <v>0</v>
      </c>
      <c r="T154" s="60"/>
      <c r="U154" s="31"/>
      <c r="V154" s="31"/>
      <c r="W154" s="31"/>
      <c r="X154" s="31"/>
      <c r="Y154" s="31"/>
      <c r="Z154" s="31"/>
      <c r="AA154" s="31"/>
      <c r="AB154" s="60">
        <f t="shared" si="254"/>
        <v>0</v>
      </c>
      <c r="AC154" s="60"/>
      <c r="AD154" s="31"/>
      <c r="AE154" s="31"/>
      <c r="AF154" s="31"/>
      <c r="AG154" s="31"/>
      <c r="AH154" s="31"/>
      <c r="AI154" s="31"/>
      <c r="AJ154" s="31"/>
      <c r="AK154" s="60">
        <f t="shared" si="256"/>
        <v>0</v>
      </c>
      <c r="AL154" s="60"/>
      <c r="AM154" s="31"/>
      <c r="AN154" s="31"/>
      <c r="AO154" s="31"/>
      <c r="AP154" s="31"/>
      <c r="AQ154" s="31"/>
      <c r="AR154" s="31"/>
      <c r="AS154" s="31"/>
      <c r="AT154" s="60">
        <f t="shared" si="258"/>
        <v>0</v>
      </c>
      <c r="AU154" s="60"/>
      <c r="AV154" s="31"/>
      <c r="AW154" s="31"/>
      <c r="AX154" s="60">
        <f t="shared" si="248"/>
        <v>0</v>
      </c>
      <c r="AY154" s="60">
        <f t="shared" si="260"/>
        <v>0</v>
      </c>
    </row>
    <row r="155" spans="1:58" ht="15" customHeight="1" x14ac:dyDescent="0.25">
      <c r="A155" s="36" t="s">
        <v>20</v>
      </c>
      <c r="B155" s="82"/>
      <c r="C155" s="66">
        <f>IF(C149&lt;&gt;"Dim",IF(C154&gt;32,MIN(C154,35)-32,0),0)</f>
        <v>0</v>
      </c>
      <c r="D155" s="66">
        <f>IF(D149&lt;&gt;"Dim",IF(SUM($C154:D154)&gt;32,MIN(SUM($C154:D154),35)-32-SUM($C155:C155),0),0)</f>
        <v>0</v>
      </c>
      <c r="E155" s="66">
        <f>IF(E149&lt;&gt;"Dim",IF(SUM($C154:E154)&gt;32,MIN(SUM($C154:E154),35)-32-SUM($C155:D155),0),0)</f>
        <v>0</v>
      </c>
      <c r="F155" s="66">
        <f>IF(F149&lt;&gt;"Dim",IF(SUM($C154:F154)&gt;32,MIN(SUM($C154:F154),35)-32-SUM($C155:E155),0),0)</f>
        <v>0</v>
      </c>
      <c r="G155" s="66">
        <f>IF(G149&lt;&gt;"Dim",IF(SUM($C154:G154)&gt;32,MIN(SUM($C154:G154),35)-32-SUM($C155:F155),0),0)</f>
        <v>0</v>
      </c>
      <c r="H155" s="66">
        <f>IF(H149&lt;&gt;"Dim",IF(SUM($C154:H154)&gt;32,MIN(SUM($C154:H154),35)-32-SUM($C155:G155),0),0)</f>
        <v>0</v>
      </c>
      <c r="I155" s="66">
        <f>IF(I149&lt;&gt;"Dim",IF(SUM($C154:I154)&gt;32,MIN(SUM($C154:I154),35)-32-SUM($C155:H155),0),0)</f>
        <v>0</v>
      </c>
      <c r="J155" s="60">
        <f t="shared" si="250"/>
        <v>0</v>
      </c>
      <c r="K155" s="60"/>
      <c r="L155" s="66">
        <f>IF(L149&lt;&gt;"Dim",IF(L154&gt;32,MIN(L154,35)-32,0),0)</f>
        <v>0</v>
      </c>
      <c r="M155" s="66">
        <f>IF(M149&lt;&gt;"Dim",IF(SUM($L154:M154)&gt;32,MIN(SUM($L154:M154),35)-32-SUM($L155:L155),0),0)</f>
        <v>0</v>
      </c>
      <c r="N155" s="66">
        <f>IF(N149&lt;&gt;"Dim",IF(SUM($L154:N154)&gt;32,MIN(SUM($L154:N154),35)-32-SUM($L155:M155),0),0)</f>
        <v>0</v>
      </c>
      <c r="O155" s="66">
        <f>IF(O149&lt;&gt;"Dim",IF(SUM($L154:O154)&gt;32,MIN(SUM($L154:O154),35)-32-SUM($L155:N155),0),0)</f>
        <v>0</v>
      </c>
      <c r="P155" s="66">
        <f>IF(P149&lt;&gt;"Dim",IF(SUM($L154:P154)&gt;32,MIN(SUM($L154:P154),35)-32-SUM($L155:O155),0),0)</f>
        <v>0</v>
      </c>
      <c r="Q155" s="66">
        <f>IF(Q149&lt;&gt;"Dim",IF(SUM($L154:Q154)&gt;32,MIN(SUM($L154:Q154),35)-32-SUM($L155:P155),0),0)</f>
        <v>0</v>
      </c>
      <c r="R155" s="66">
        <f>IF(R149&lt;&gt;"Dim",IF(SUM($L154:R154)&gt;32,MIN(SUM($L154:R154),35)-32-SUM($L155:Q155),0),0)</f>
        <v>0</v>
      </c>
      <c r="S155" s="60">
        <f t="shared" si="252"/>
        <v>0</v>
      </c>
      <c r="T155" s="60"/>
      <c r="U155" s="66">
        <f>IF(U149&lt;&gt;"Dim",IF(U154&gt;32,MIN(U154,35)-32,0),0)</f>
        <v>0</v>
      </c>
      <c r="V155" s="66">
        <f>IF(V149&lt;&gt;"Dim",IF(SUM($U154:V154)&gt;32,MIN(SUM($U154:V154),35)-32-SUM($U155:U155),0),0)</f>
        <v>0</v>
      </c>
      <c r="W155" s="66">
        <f>IF(W149&lt;&gt;"Dim",IF(SUM($U154:W154)&gt;32,MIN(SUM($U154:W154),35)-32-SUM($U155:V155),0),0)</f>
        <v>0</v>
      </c>
      <c r="X155" s="66">
        <f>IF(X149&lt;&gt;"Dim",IF(SUM($U154:X154)&gt;32,MIN(SUM($U154:X154),35)-32-SUM($U155:W155),0),0)</f>
        <v>0</v>
      </c>
      <c r="Y155" s="66">
        <f>IF(Y149&lt;&gt;"Dim",IF(SUM($U154:Y154)&gt;32,MIN(SUM($U154:Y154),35)-32-SUM($U155:X155),0),0)</f>
        <v>0</v>
      </c>
      <c r="Z155" s="66">
        <f>IF(Z149&lt;&gt;"Dim",IF(SUM($U154:Z154)&gt;32,MIN(SUM($U154:Z154),35)-32-SUM($U155:Y155),0),0)</f>
        <v>0</v>
      </c>
      <c r="AA155" s="66">
        <f>IF(AA149&lt;&gt;"Dim",IF(SUM($U154:AA154)&gt;32,MIN(SUM($U154:AA154),35)-32-SUM($U155:Z155),0),0)</f>
        <v>0</v>
      </c>
      <c r="AB155" s="60">
        <f t="shared" si="254"/>
        <v>0</v>
      </c>
      <c r="AC155" s="60"/>
      <c r="AD155" s="66">
        <f>IF(AD149&lt;&gt;"Dim",IF(AD154&gt;32,MIN(AD154,35)-32,0),0)</f>
        <v>0</v>
      </c>
      <c r="AE155" s="66">
        <f>IF(AE149&lt;&gt;"Dim",IF(SUM($AD154:AE154)&gt;32,MIN(SUM($AD154:AE154),35)-32-SUM($AD155:AD155),0),0)</f>
        <v>0</v>
      </c>
      <c r="AF155" s="66">
        <f>IF(AF149&lt;&gt;"Dim",IF(SUM($AD154:AF154)&gt;32,MIN(SUM($AD154:AF154),35)-32-SUM($AD155:AE155),0),0)</f>
        <v>0</v>
      </c>
      <c r="AG155" s="66">
        <f>IF(AG149&lt;&gt;"Dim",IF(SUM($AD154:AG154)&gt;32,MIN(SUM($AD154:AG154),35)-32-SUM($AD155:AF155),0),0)</f>
        <v>0</v>
      </c>
      <c r="AH155" s="66">
        <f>IF(AH149&lt;&gt;"Dim",IF(SUM($AD154:AH154)&gt;32,MIN(SUM($AD154:AH154),35)-32-SUM($AD155:AG155),0),0)</f>
        <v>0</v>
      </c>
      <c r="AI155" s="66">
        <f>IF(AI149&lt;&gt;"Dim",IF(SUM($AD154:AI154)&gt;32,MIN(SUM($AD154:AI154),35)-32-SUM($AD155:AH155),0),0)</f>
        <v>0</v>
      </c>
      <c r="AJ155" s="66">
        <f>IF(AJ149&lt;&gt;"Dim",IF(SUM($AD154:AJ154)&gt;32,MIN(SUM($AD154:AJ154),35)-32-SUM($AD155:AI155),0),0)</f>
        <v>0</v>
      </c>
      <c r="AK155" s="60">
        <f t="shared" si="256"/>
        <v>0</v>
      </c>
      <c r="AL155" s="60"/>
      <c r="AM155" s="66">
        <f>IF(AM149&lt;&gt;"Dim",IF(AM154&gt;32,MIN(AM154,35)-32,0),0)</f>
        <v>0</v>
      </c>
      <c r="AN155" s="66">
        <f>IF(AN149&lt;&gt;"Dim",IF(SUM($AM154:AN154)&gt;32,MIN(SUM($AM154:AN154),35)-32-SUM($AM155:AM155),0),0)</f>
        <v>0</v>
      </c>
      <c r="AO155" s="66">
        <f>IF(AO149&lt;&gt;"Dim",IF(SUM($AM154:AO154)&gt;32,MIN(SUM($AM154:AO154),35)-32-SUM($AM155:AN155),0),0)</f>
        <v>0</v>
      </c>
      <c r="AP155" s="66">
        <f>IF(AP149&lt;&gt;"Dim",IF(SUM($AM154:AP154)&gt;32,MIN(SUM($AM154:AP154),35)-32-SUM($AM155:AO155),0),0)</f>
        <v>0</v>
      </c>
      <c r="AQ155" s="66">
        <f>IF(AQ149&lt;&gt;"Dim",IF(SUM($AM154:AQ154)&gt;32,MIN(SUM($AM154:AQ154),35)-32-SUM($AM155:AP155),0),0)</f>
        <v>0</v>
      </c>
      <c r="AR155" s="66">
        <f>IF(AR149&lt;&gt;"Dim",IF(SUM($AM154:AR154)&gt;32,MIN(SUM($AM154:AR154),35)-32-SUM($AM155:AQ155),0),0)</f>
        <v>0</v>
      </c>
      <c r="AS155" s="66">
        <f>IF(AS149&lt;&gt;"Dim",IF(SUM($AM154:AS154)&gt;32,MIN(SUM($AM154:AS154),35)-32-SUM($AM155:AR155),0),0)</f>
        <v>0</v>
      </c>
      <c r="AT155" s="60">
        <f t="shared" si="258"/>
        <v>0</v>
      </c>
      <c r="AU155" s="60"/>
      <c r="AV155" s="66">
        <f>IF(AV149&lt;&gt;"Dim",IF(AV154&gt;32,MIN(AV154,35)-32,0),0)</f>
        <v>0</v>
      </c>
      <c r="AW155" s="66">
        <f>IF(AW149&lt;&gt;"Dim",IF(SUM($AV154:AW154)&gt;32,MIN(SUM($AV154:AW154),35)-32-SUM($AV155:AV155),0),0)</f>
        <v>0</v>
      </c>
      <c r="AX155" s="60">
        <f t="shared" si="248"/>
        <v>0</v>
      </c>
      <c r="AY155" s="60">
        <f t="shared" si="260"/>
        <v>0</v>
      </c>
    </row>
    <row r="156" spans="1:58" ht="15" customHeight="1" x14ac:dyDescent="0.25">
      <c r="A156" s="21" t="s">
        <v>6</v>
      </c>
      <c r="B156" s="81"/>
      <c r="C156" s="66">
        <f>IF(C149&lt;&gt;"Dim",IF(C154&gt;35,(MIN(C154,43)-35),0),0)</f>
        <v>0</v>
      </c>
      <c r="D156" s="66">
        <f>IF(D149&lt;&gt;"Dim",IF(SUM($C154:D154)&gt;35,(MIN(SUM($C154:D154),43)-35-SUM($C156:C156)),0),0)</f>
        <v>0</v>
      </c>
      <c r="E156" s="66">
        <f>IF(E149&lt;&gt;"Dim",IF(SUM($C154:E154)&gt;35,(MIN(SUM($C154:E154),43)-35-SUM($C156:D156)),0),0)</f>
        <v>0</v>
      </c>
      <c r="F156" s="66">
        <f>IF(F149&lt;&gt;"Dim",IF(SUM($C154:F154)&gt;35,(MIN(SUM($C154:F154),43)-35-SUM($C156:E156)),0),0)</f>
        <v>0</v>
      </c>
      <c r="G156" s="66">
        <f>IF(G149&lt;&gt;"Dim",IF(SUM($C154:G154)&gt;35,(MIN(SUM($C154:G154),43)-35-SUM($C156:F156)),0),0)</f>
        <v>0</v>
      </c>
      <c r="H156" s="66">
        <f>IF(H149&lt;&gt;"Dim",IF(SUM($C154:H154)&gt;35,(MIN(SUM($C154:H154),43)-35-SUM($C156:G156)),0),0)</f>
        <v>0</v>
      </c>
      <c r="I156" s="66">
        <f>IF(I149&lt;&gt;"Dim",IF(SUM($C154:I154)&gt;35,(MIN(SUM($C154:I154),43)-35-SUM($C156:H156)),0),0)</f>
        <v>0</v>
      </c>
      <c r="J156" s="60">
        <f t="shared" si="250"/>
        <v>0</v>
      </c>
      <c r="K156" s="60"/>
      <c r="L156" s="66">
        <f>IF(L149&lt;&gt;"Dim",IF(L154&gt;35,(MIN(L154,43)-35),0),0)</f>
        <v>0</v>
      </c>
      <c r="M156" s="66">
        <f>IF(M149&lt;&gt;"Dim",IF(SUM($L154:M154)&gt;35,(MIN(SUM($L154:M154),43)-35-SUM($L156:L156)),0),0)</f>
        <v>0</v>
      </c>
      <c r="N156" s="66">
        <f>IF(N149&lt;&gt;"Dim",IF(SUM($L154:N154)&gt;35,(MIN(SUM($L154:N154),43)-35-SUM($L156:M156)),0),0)</f>
        <v>0</v>
      </c>
      <c r="O156" s="66">
        <f>IF(O149&lt;&gt;"Dim",IF(SUM($L154:O154)&gt;35,(MIN(SUM($L154:O154),43)-35-SUM($L156:N156)),0),0)</f>
        <v>0</v>
      </c>
      <c r="P156" s="66">
        <f>IF(P149&lt;&gt;"Dim",IF(SUM($L154:P154)&gt;35,(MIN(SUM($L154:P154),43)-35-SUM($L156:O156)),0),0)</f>
        <v>0</v>
      </c>
      <c r="Q156" s="66">
        <f>IF(Q149&lt;&gt;"Dim",IF(SUM($L154:Q154)&gt;35,(MIN(SUM($L154:Q154),43)-35-SUM($L156:P156)),0),0)</f>
        <v>0</v>
      </c>
      <c r="R156" s="66">
        <f>IF(R149&lt;&gt;"Dim",IF(SUM($L154:R154)&gt;35,(MIN(SUM($L154:R154),43)-35-SUM($L156:Q156)),0),0)</f>
        <v>0</v>
      </c>
      <c r="S156" s="60">
        <f t="shared" si="252"/>
        <v>0</v>
      </c>
      <c r="T156" s="60"/>
      <c r="U156" s="66">
        <f>IF(U149&lt;&gt;"Dim",IF(U154&gt;35,(MIN(U154,43)-35),0),0)</f>
        <v>0</v>
      </c>
      <c r="V156" s="66">
        <f>IF(V149&lt;&gt;"Dim",IF(SUM($U154:V154)&gt;35,(MIN(SUM($U154:V154),43)-35-SUM($U156:U156)),0),0)</f>
        <v>0</v>
      </c>
      <c r="W156" s="66">
        <f>IF(W149&lt;&gt;"Dim",IF(SUM($U154:W154)&gt;35,(MIN(SUM($U154:W154),43)-35-SUM($U156:V156)),0),0)</f>
        <v>0</v>
      </c>
      <c r="X156" s="66">
        <f>IF(X149&lt;&gt;"Dim",IF(SUM($U154:X154)&gt;35,(MIN(SUM($U154:X154),43)-35-SUM($U156:W156)),0),0)</f>
        <v>0</v>
      </c>
      <c r="Y156" s="66">
        <f>IF(Y149&lt;&gt;"Dim",IF(SUM($U154:Y154)&gt;35,(MIN(SUM($U154:Y154),43)-35-SUM($U156:X156)),0),0)</f>
        <v>0</v>
      </c>
      <c r="Z156" s="66">
        <f>IF(Z149&lt;&gt;"Dim",IF(SUM($U154:Z154)&gt;35,(MIN(SUM($U154:Z154),43)-35-SUM($U156:Y156)),0),0)</f>
        <v>0</v>
      </c>
      <c r="AA156" s="66">
        <f>IF(AA149&lt;&gt;"Dim",IF(SUM($U154:AA154)&gt;35,(MIN(SUM($U154:AA154),43)-35-SUM($U156:Z156)),0),0)</f>
        <v>0</v>
      </c>
      <c r="AB156" s="60">
        <f t="shared" si="254"/>
        <v>0</v>
      </c>
      <c r="AC156" s="60"/>
      <c r="AD156" s="66">
        <f>IF(AD149&lt;&gt;"Dim",IF(AD154&gt;35,(MIN(AD154,43)-35),0),0)</f>
        <v>0</v>
      </c>
      <c r="AE156" s="66">
        <f>IF(AE149&lt;&gt;"Dim",IF(SUM($AD154:AE154)&gt;35,(MIN(SUM($AD154:AE154),43)-35-SUM($AD156:AD156)),0),0)</f>
        <v>0</v>
      </c>
      <c r="AF156" s="66">
        <f>IF(AF149&lt;&gt;"Dim",IF(SUM($AD154:AF154)&gt;35,(MIN(SUM($AD154:AF154),43)-35-SUM($AD156:AE156)),0),0)</f>
        <v>0</v>
      </c>
      <c r="AG156" s="66">
        <f>IF(AG149&lt;&gt;"Dim",IF(SUM($AD154:AG154)&gt;35,(MIN(SUM($AD154:AG154),43)-35-SUM($AD156:AF156)),0),0)</f>
        <v>0</v>
      </c>
      <c r="AH156" s="66">
        <f>IF(AH149&lt;&gt;"Dim",IF(SUM($AD154:AH154)&gt;35,(MIN(SUM($AD154:AH154),43)-35-SUM($AD156:AG156)),0),0)</f>
        <v>0</v>
      </c>
      <c r="AI156" s="66">
        <f>IF(AI149&lt;&gt;"Dim",IF(SUM($AD154:AI154)&gt;35,(MIN(SUM($AD154:AI154),43)-35-SUM($AD156:AH156)),0),0)</f>
        <v>0</v>
      </c>
      <c r="AJ156" s="66">
        <f>IF(AJ149&lt;&gt;"Dim",IF(SUM($AD154:AJ154)&gt;35,(MIN(SUM($AD154:AJ154),43)-35-SUM($AD156:AI156)),0),0)</f>
        <v>0</v>
      </c>
      <c r="AK156" s="60">
        <f t="shared" si="256"/>
        <v>0</v>
      </c>
      <c r="AL156" s="60"/>
      <c r="AM156" s="66">
        <f>IF(AM149&lt;&gt;"Dim",IF(AM154&gt;35,(MIN(AM154,43)-35),0),0)</f>
        <v>0</v>
      </c>
      <c r="AN156" s="66">
        <f>IF(AN149&lt;&gt;"Dim",IF(SUM($AM154:AN154)&gt;35,(MIN(SUM($AM154:AN154),43)-35-SUM($AM156:AM156)),0),0)</f>
        <v>0</v>
      </c>
      <c r="AO156" s="66">
        <f>IF(AO149&lt;&gt;"Dim",IF(SUM($AM154:AO154)&gt;35,(MIN(SUM($AM154:AO154),43)-35-SUM($AM156:AN156)),0),0)</f>
        <v>0</v>
      </c>
      <c r="AP156" s="66">
        <f>IF(AP149&lt;&gt;"Dim",IF(SUM($AM154:AP154)&gt;35,(MIN(SUM($AM154:AP154),43)-35-SUM($AM156:AO156)),0),0)</f>
        <v>0</v>
      </c>
      <c r="AQ156" s="66">
        <f>IF(AQ149&lt;&gt;"Dim",IF(SUM($AM154:AQ154)&gt;35,(MIN(SUM($AM154:AQ154),43)-35-SUM($AM156:AP156)),0),0)</f>
        <v>0</v>
      </c>
      <c r="AR156" s="66">
        <f>IF(AR149&lt;&gt;"Dim",IF(SUM($AM154:AR154)&gt;35,(MIN(SUM($AM154:AR154),43)-35-SUM($AM156:AQ156)),0),0)</f>
        <v>0</v>
      </c>
      <c r="AS156" s="66">
        <f>IF(AS149&lt;&gt;"Dim",IF(SUM($AM154:AS154)&gt;35,(MIN(SUM($AM154:AS154),43)-35-SUM($AM156:AR156)),0),0)</f>
        <v>0</v>
      </c>
      <c r="AT156" s="60">
        <f t="shared" si="258"/>
        <v>0</v>
      </c>
      <c r="AU156" s="60"/>
      <c r="AV156" s="66">
        <f>IF(AV149&lt;&gt;"Dim",IF(AV154&gt;35,(MIN(AV154,43)-35),0),0)</f>
        <v>0</v>
      </c>
      <c r="AW156" s="66">
        <f>IF(AW149&lt;&gt;"Dim",IF(SUM($AV154:AW154)&gt;35,(MIN(SUM($AV154:AW154),43)-35-SUM($AV156:AV156)),0),0)</f>
        <v>0</v>
      </c>
      <c r="AX156" s="60">
        <f t="shared" si="248"/>
        <v>0</v>
      </c>
      <c r="AY156" s="60">
        <f t="shared" si="260"/>
        <v>0</v>
      </c>
    </row>
    <row r="157" spans="1:58" ht="15" customHeight="1" x14ac:dyDescent="0.25">
      <c r="A157" s="21" t="s">
        <v>5</v>
      </c>
      <c r="B157" s="81"/>
      <c r="C157" s="66">
        <f>IF(C149&lt;&gt;"Dim",IF(C154&gt;43,(MIN(C154,48)-43),0),0)</f>
        <v>0</v>
      </c>
      <c r="D157" s="66">
        <f>IF(D149&lt;&gt;"Dim",IF(SUM($C154:D154)&gt;43,(MIN(SUM($C154:D154),48)-43-SUM($C157:C157)),0),0)</f>
        <v>0</v>
      </c>
      <c r="E157" s="66">
        <f>IF(E149&lt;&gt;"Dim",IF(SUM($C154:E154)&gt;43,(MIN(SUM($C154:E154),48)-43-SUM($C157:D157)),0),0)</f>
        <v>0</v>
      </c>
      <c r="F157" s="66">
        <f>IF(F149&lt;&gt;"Dim",IF(SUM($C154:F154)&gt;43,(MIN(SUM($C154:F154),48)-43-SUM($C157:E157)),0),0)</f>
        <v>0</v>
      </c>
      <c r="G157" s="66">
        <f>IF(G149&lt;&gt;"Dim",IF(SUM($C154:G154)&gt;43,(MIN(SUM($C154:G154),48)-43-SUM($C157:F157)),0),0)</f>
        <v>0</v>
      </c>
      <c r="H157" s="66">
        <f>IF(H149&lt;&gt;"Dim",IF(SUM($C154:H154)&gt;43,(MIN(SUM($C154:H154),48)-43-SUM($C157:G157)),0),0)</f>
        <v>0</v>
      </c>
      <c r="I157" s="66">
        <f>IF(I149&lt;&gt;"Dim",IF(SUM($C154:I154)&gt;43,(MIN(SUM($C154:I154),48)-43-SUM($C157:H157)),0),0)</f>
        <v>0</v>
      </c>
      <c r="J157" s="60">
        <f t="shared" si="250"/>
        <v>0</v>
      </c>
      <c r="K157" s="60"/>
      <c r="L157" s="66">
        <f>IF(L149&lt;&gt;"Dim",IF(L154&gt;43,(MIN(L154,48)-43),0),0)</f>
        <v>0</v>
      </c>
      <c r="M157" s="66">
        <f>IF(M149&lt;&gt;"Dim",IF(SUM($L154:M154)&gt;43,(MIN(SUM($L154:M154),48)-43-SUM($L157:L157)),0),0)</f>
        <v>0</v>
      </c>
      <c r="N157" s="66">
        <f>IF(N149&lt;&gt;"Dim",IF(SUM($L154:N154)&gt;43,(MIN(SUM($L154:N154),48)-43-SUM($L157:M157)),0),0)</f>
        <v>0</v>
      </c>
      <c r="O157" s="66">
        <f>IF(O149&lt;&gt;"Dim",IF(SUM($L154:O154)&gt;43,(MIN(SUM($L154:O154),48)-43-SUM($L157:N157)),0),0)</f>
        <v>0</v>
      </c>
      <c r="P157" s="66">
        <f>IF(P149&lt;&gt;"Dim",IF(SUM($L154:P154)&gt;43,(MIN(SUM($L154:P154),48)-43-SUM($L157:O157)),0),0)</f>
        <v>0</v>
      </c>
      <c r="Q157" s="66">
        <f>IF(Q149&lt;&gt;"Dim",IF(SUM($L154:Q154)&gt;43,(MIN(SUM($L154:Q154),48)-43-SUM($L157:P157)),0),0)</f>
        <v>0</v>
      </c>
      <c r="R157" s="66">
        <f>IF(R149&lt;&gt;"Dim",IF(SUM($L154:R154)&gt;43,(MIN(SUM($L154:R154),48)-43-SUM($L157:Q157)),0),0)</f>
        <v>0</v>
      </c>
      <c r="S157" s="60">
        <f t="shared" si="252"/>
        <v>0</v>
      </c>
      <c r="T157" s="60"/>
      <c r="U157" s="66">
        <f>IF(U149&lt;&gt;"Dim",IF(U154&gt;43,(MIN(U154,48)-43),0),0)</f>
        <v>0</v>
      </c>
      <c r="V157" s="66">
        <f>IF(V149&lt;&gt;"Dim",IF(SUM($U154:V154)&gt;43,(MIN(SUM($U154:V154),48)-43-SUM($U157:U157)),0),0)</f>
        <v>0</v>
      </c>
      <c r="W157" s="66">
        <f>IF(W149&lt;&gt;"Dim",IF(SUM($U154:W154)&gt;43,(MIN(SUM($U154:W154),48)-43-SUM($U157:V157)),0),0)</f>
        <v>0</v>
      </c>
      <c r="X157" s="66">
        <f>IF(X149&lt;&gt;"Dim",IF(SUM($U154:X154)&gt;43,(MIN(SUM($U154:X154),48)-43-SUM($U157:W157)),0),0)</f>
        <v>0</v>
      </c>
      <c r="Y157" s="66">
        <f>IF(Y149&lt;&gt;"Dim",IF(SUM($U154:Y154)&gt;43,(MIN(SUM($U154:Y154),48)-43-SUM($U157:X157)),0),0)</f>
        <v>0</v>
      </c>
      <c r="Z157" s="66">
        <f>IF(Z149&lt;&gt;"Dim",IF(SUM($U154:Z154)&gt;43,(MIN(SUM($U154:Z154),48)-43-SUM($U157:Y157)),0),0)</f>
        <v>0</v>
      </c>
      <c r="AA157" s="66">
        <f>IF(AA149&lt;&gt;"Dim",IF(SUM($U154:AA154)&gt;43,(MIN(SUM($U154:AA154),48)-43-SUM($U157:Z157)),0),0)</f>
        <v>0</v>
      </c>
      <c r="AB157" s="60">
        <f t="shared" si="254"/>
        <v>0</v>
      </c>
      <c r="AC157" s="60"/>
      <c r="AD157" s="66">
        <f>IF(AD149&lt;&gt;"Dim",IF(AD154&gt;43,(MIN(AD154,48)-43),0),0)</f>
        <v>0</v>
      </c>
      <c r="AE157" s="66">
        <f>IF(AE149&lt;&gt;"Dim",IF(SUM($AD154:AE154)&gt;43,(MIN(SUM($AD154:AE154),48)-43-SUM($AD157:AD157)),0),0)</f>
        <v>0</v>
      </c>
      <c r="AF157" s="66">
        <f>IF(AF149&lt;&gt;"Dim",IF(SUM($AD154:AF154)&gt;43,(MIN(SUM($AD154:AF154),48)-43-SUM($AD157:AE157)),0),0)</f>
        <v>0</v>
      </c>
      <c r="AG157" s="66">
        <f>IF(AG149&lt;&gt;"Dim",IF(SUM($AD154:AG154)&gt;43,(MIN(SUM($AD154:AG154),48)-43-SUM($AD157:AF157)),0),0)</f>
        <v>0</v>
      </c>
      <c r="AH157" s="66">
        <f>IF(AH149&lt;&gt;"Dim",IF(SUM($AD154:AH154)&gt;43,(MIN(SUM($AD154:AH154),48)-43-SUM($AD157:AG157)),0),0)</f>
        <v>0</v>
      </c>
      <c r="AI157" s="66">
        <f>IF(AI149&lt;&gt;"Dim",IF(SUM($AD154:AI154)&gt;43,(MIN(SUM($AD154:AI154),48)-43-SUM($AD157:AH157)),0),0)</f>
        <v>0</v>
      </c>
      <c r="AJ157" s="66">
        <f>IF(AJ149&lt;&gt;"Dim",IF(SUM($AD154:AJ154)&gt;43,(MIN(SUM($AD154:AJ154),48)-43-SUM($AD157:AI157)),0),0)</f>
        <v>0</v>
      </c>
      <c r="AK157" s="60">
        <f t="shared" si="256"/>
        <v>0</v>
      </c>
      <c r="AL157" s="60"/>
      <c r="AM157" s="66">
        <f>IF(AM149&lt;&gt;"Dim",IF(AM154&gt;43,(MIN(AM154,48)-43),0),0)</f>
        <v>0</v>
      </c>
      <c r="AN157" s="66">
        <f>IF(AN149&lt;&gt;"Dim",IF(SUM($AM154:AN154)&gt;43,(MIN(SUM($AM154:AN154),48)-43-SUM($AM157:AM157)),0),0)</f>
        <v>0</v>
      </c>
      <c r="AO157" s="66">
        <f>IF(AO149&lt;&gt;"Dim",IF(SUM($AM154:AO154)&gt;43,(MIN(SUM($AM154:AO154),48)-43-SUM($AM157:AN157)),0),0)</f>
        <v>0</v>
      </c>
      <c r="AP157" s="66">
        <f>IF(AP149&lt;&gt;"Dim",IF(SUM($AM154:AP154)&gt;43,(MIN(SUM($AM154:AP154),48)-43-SUM($AM157:AO157)),0),0)</f>
        <v>0</v>
      </c>
      <c r="AQ157" s="66">
        <f>IF(AQ149&lt;&gt;"Dim",IF(SUM($AM154:AQ154)&gt;43,(MIN(SUM($AM154:AQ154),48)-43-SUM($AM157:AP157)),0),0)</f>
        <v>0</v>
      </c>
      <c r="AR157" s="66">
        <f>IF(AR149&lt;&gt;"Dim",IF(SUM($AM154:AR154)&gt;43,(MIN(SUM($AM154:AR154),48)-43-SUM($AM157:AQ157)),0),0)</f>
        <v>0</v>
      </c>
      <c r="AS157" s="66">
        <f>IF(AS149&lt;&gt;"Dim",IF(SUM($AM154:AS154)&gt;43,(MIN(SUM($AM154:AS154),48)-43-SUM($AM157:AR157)),0),0)</f>
        <v>0</v>
      </c>
      <c r="AT157" s="60">
        <f t="shared" si="258"/>
        <v>0</v>
      </c>
      <c r="AU157" s="60"/>
      <c r="AV157" s="66">
        <f>IF(AV149&lt;&gt;"Dim",IF(AV154&gt;43,(MIN(AV154,48)-43),0),0)</f>
        <v>0</v>
      </c>
      <c r="AW157" s="66">
        <f>IF(AW149&lt;&gt;"Dim",IF(SUM($AV154:AW154)&gt;43,(MIN(SUM($AV154:AW154),48)-43-SUM($AV157:AV157)),0),0)</f>
        <v>0</v>
      </c>
      <c r="AX157" s="60">
        <f t="shared" si="248"/>
        <v>0</v>
      </c>
      <c r="AY157" s="60">
        <f t="shared" si="260"/>
        <v>0</v>
      </c>
    </row>
    <row r="158" spans="1:58" ht="15" customHeight="1" x14ac:dyDescent="0.25">
      <c r="A158" s="21" t="s">
        <v>7</v>
      </c>
      <c r="B158" s="81"/>
      <c r="C158" s="66">
        <f>IF(C149="Dim",C154,IF(C164="ferie",C154,0))</f>
        <v>0</v>
      </c>
      <c r="D158" s="66">
        <f t="shared" ref="D158:I158" si="261">IF(D149="Dim",D154,IF(D164="ferie",D154,0))</f>
        <v>0</v>
      </c>
      <c r="E158" s="66">
        <f t="shared" si="261"/>
        <v>0</v>
      </c>
      <c r="F158" s="66">
        <f t="shared" si="261"/>
        <v>0</v>
      </c>
      <c r="G158" s="66">
        <f t="shared" si="261"/>
        <v>0</v>
      </c>
      <c r="H158" s="66">
        <f t="shared" si="261"/>
        <v>0</v>
      </c>
      <c r="I158" s="66">
        <f t="shared" si="261"/>
        <v>0</v>
      </c>
      <c r="J158" s="60">
        <f t="shared" si="250"/>
        <v>0</v>
      </c>
      <c r="K158" s="60"/>
      <c r="L158" s="66">
        <f>IF(L149="Dim",L154,IF(L164="ferie",L154,0))</f>
        <v>0</v>
      </c>
      <c r="M158" s="66">
        <f t="shared" ref="M158:R158" si="262">IF(M149="Dim",M154,IF(M164="ferie",M154,0))</f>
        <v>0</v>
      </c>
      <c r="N158" s="66">
        <f t="shared" si="262"/>
        <v>0</v>
      </c>
      <c r="O158" s="66">
        <f t="shared" si="262"/>
        <v>0</v>
      </c>
      <c r="P158" s="66">
        <f t="shared" si="262"/>
        <v>0</v>
      </c>
      <c r="Q158" s="66">
        <f>IF(Q149="Dim",Q154,IF(Q164="ferie",Q154,0))</f>
        <v>0</v>
      </c>
      <c r="R158" s="66">
        <f t="shared" si="262"/>
        <v>0</v>
      </c>
      <c r="S158" s="60">
        <f t="shared" si="252"/>
        <v>0</v>
      </c>
      <c r="T158" s="60"/>
      <c r="U158" s="66">
        <f>IF(U149="Dim",U154,IF(U164="ferie",U154,0))</f>
        <v>0</v>
      </c>
      <c r="V158" s="66">
        <f t="shared" ref="V158:AA158" si="263">IF(V149="Dim",V154,IF(V164="ferie",V154,0))</f>
        <v>0</v>
      </c>
      <c r="W158" s="66">
        <f t="shared" si="263"/>
        <v>0</v>
      </c>
      <c r="X158" s="66">
        <f t="shared" si="263"/>
        <v>0</v>
      </c>
      <c r="Y158" s="66">
        <f t="shared" si="263"/>
        <v>0</v>
      </c>
      <c r="Z158" s="66">
        <f t="shared" si="263"/>
        <v>0</v>
      </c>
      <c r="AA158" s="66">
        <f t="shared" si="263"/>
        <v>0</v>
      </c>
      <c r="AB158" s="60">
        <f t="shared" si="254"/>
        <v>0</v>
      </c>
      <c r="AC158" s="60"/>
      <c r="AD158" s="66">
        <f>IF(AD149="Dim",AD154,IF(AD164="ferie",AD154,0))</f>
        <v>0</v>
      </c>
      <c r="AE158" s="66">
        <f t="shared" ref="AE158:AJ158" si="264">IF(AE149="Dim",AE154,IF(AE164="ferie",AE154,0))</f>
        <v>0</v>
      </c>
      <c r="AF158" s="66">
        <f t="shared" si="264"/>
        <v>0</v>
      </c>
      <c r="AG158" s="66">
        <f t="shared" si="264"/>
        <v>0</v>
      </c>
      <c r="AH158" s="66">
        <f t="shared" si="264"/>
        <v>0</v>
      </c>
      <c r="AI158" s="66">
        <f t="shared" si="264"/>
        <v>0</v>
      </c>
      <c r="AJ158" s="66">
        <f t="shared" si="264"/>
        <v>0</v>
      </c>
      <c r="AK158" s="60">
        <f t="shared" si="256"/>
        <v>0</v>
      </c>
      <c r="AL158" s="60"/>
      <c r="AM158" s="66">
        <f>IF(AM149="Dim",AM154,IF(AM164="ferie",AM154,0))</f>
        <v>0</v>
      </c>
      <c r="AN158" s="66">
        <f t="shared" ref="AN158:AW158" si="265">IF(AN149="Dim",AN154,IF(AN164="ferie",AN154,0))</f>
        <v>0</v>
      </c>
      <c r="AO158" s="66">
        <f t="shared" si="265"/>
        <v>0</v>
      </c>
      <c r="AP158" s="66">
        <f t="shared" si="265"/>
        <v>0</v>
      </c>
      <c r="AQ158" s="66">
        <f t="shared" si="265"/>
        <v>0</v>
      </c>
      <c r="AR158" s="66">
        <f t="shared" si="265"/>
        <v>0</v>
      </c>
      <c r="AS158" s="66">
        <f t="shared" si="265"/>
        <v>0</v>
      </c>
      <c r="AT158" s="60">
        <f>SUM(AM158:AS158)</f>
        <v>0</v>
      </c>
      <c r="AU158" s="60"/>
      <c r="AV158" s="66">
        <f>IF(AV149="Dim",AV154,IF(AV164="ferie",AV154,0))</f>
        <v>0</v>
      </c>
      <c r="AW158" s="66">
        <f t="shared" si="265"/>
        <v>0</v>
      </c>
      <c r="AX158" s="60">
        <f t="shared" si="248"/>
        <v>0</v>
      </c>
      <c r="AY158" s="60">
        <f t="shared" si="260"/>
        <v>0</v>
      </c>
    </row>
    <row r="159" spans="1:58" ht="15" customHeight="1" x14ac:dyDescent="0.25">
      <c r="A159" s="21" t="s">
        <v>8</v>
      </c>
      <c r="B159" s="81"/>
      <c r="C159" s="31"/>
      <c r="D159" s="31"/>
      <c r="E159" s="31"/>
      <c r="F159" s="31"/>
      <c r="G159" s="31"/>
      <c r="H159" s="31"/>
      <c r="I159" s="31"/>
      <c r="J159" s="60">
        <f t="shared" si="250"/>
        <v>0</v>
      </c>
      <c r="K159" s="60"/>
      <c r="L159" s="31"/>
      <c r="M159" s="31"/>
      <c r="N159" s="31"/>
      <c r="O159" s="31"/>
      <c r="P159" s="31"/>
      <c r="Q159" s="31"/>
      <c r="R159" s="31"/>
      <c r="S159" s="60">
        <f t="shared" si="252"/>
        <v>0</v>
      </c>
      <c r="T159" s="60"/>
      <c r="U159" s="31"/>
      <c r="V159" s="31"/>
      <c r="W159" s="31"/>
      <c r="X159" s="31"/>
      <c r="Y159" s="31"/>
      <c r="Z159" s="31"/>
      <c r="AA159" s="31"/>
      <c r="AB159" s="60">
        <f t="shared" si="254"/>
        <v>0</v>
      </c>
      <c r="AC159" s="60"/>
      <c r="AD159" s="31"/>
      <c r="AE159" s="31"/>
      <c r="AF159" s="31"/>
      <c r="AG159" s="31"/>
      <c r="AH159" s="31"/>
      <c r="AI159" s="31"/>
      <c r="AJ159" s="31"/>
      <c r="AK159" s="60">
        <f t="shared" si="256"/>
        <v>0</v>
      </c>
      <c r="AL159" s="60"/>
      <c r="AM159" s="31"/>
      <c r="AN159" s="31"/>
      <c r="AO159" s="31"/>
      <c r="AP159" s="31"/>
      <c r="AQ159" s="31"/>
      <c r="AR159" s="31"/>
      <c r="AS159" s="31"/>
      <c r="AT159" s="60">
        <f t="shared" si="258"/>
        <v>0</v>
      </c>
      <c r="AU159" s="60"/>
      <c r="AV159" s="31"/>
      <c r="AW159" s="31"/>
      <c r="AX159" s="60">
        <f t="shared" si="248"/>
        <v>0</v>
      </c>
      <c r="AY159" s="60">
        <f t="shared" si="260"/>
        <v>0</v>
      </c>
    </row>
    <row r="160" spans="1:58" ht="15" customHeight="1" x14ac:dyDescent="0.25">
      <c r="A160" s="36" t="s">
        <v>9</v>
      </c>
      <c r="B160" s="82"/>
      <c r="C160" s="31"/>
      <c r="D160" s="31"/>
      <c r="E160" s="31"/>
      <c r="F160" s="31"/>
      <c r="G160" s="31"/>
      <c r="H160" s="31"/>
      <c r="I160" s="31"/>
      <c r="J160" s="60">
        <f t="shared" si="250"/>
        <v>0</v>
      </c>
      <c r="K160" s="60"/>
      <c r="L160" s="31"/>
      <c r="M160" s="31"/>
      <c r="N160" s="31"/>
      <c r="O160" s="31"/>
      <c r="P160" s="31"/>
      <c r="Q160" s="31"/>
      <c r="R160" s="31"/>
      <c r="S160" s="60">
        <f t="shared" si="252"/>
        <v>0</v>
      </c>
      <c r="T160" s="60"/>
      <c r="U160" s="31"/>
      <c r="V160" s="31"/>
      <c r="W160" s="31"/>
      <c r="X160" s="31"/>
      <c r="Y160" s="31"/>
      <c r="Z160" s="31"/>
      <c r="AA160" s="31"/>
      <c r="AB160" s="60">
        <f t="shared" si="254"/>
        <v>0</v>
      </c>
      <c r="AC160" s="60"/>
      <c r="AD160" s="31"/>
      <c r="AE160" s="31"/>
      <c r="AF160" s="31"/>
      <c r="AG160" s="31"/>
      <c r="AH160" s="31"/>
      <c r="AI160" s="31"/>
      <c r="AJ160" s="31"/>
      <c r="AK160" s="60">
        <f t="shared" si="256"/>
        <v>0</v>
      </c>
      <c r="AL160" s="60"/>
      <c r="AM160" s="31"/>
      <c r="AN160" s="31"/>
      <c r="AO160" s="31"/>
      <c r="AP160" s="31"/>
      <c r="AQ160" s="31"/>
      <c r="AR160" s="31"/>
      <c r="AS160" s="31"/>
      <c r="AT160" s="60">
        <f t="shared" si="258"/>
        <v>0</v>
      </c>
      <c r="AU160" s="60"/>
      <c r="AV160" s="31"/>
      <c r="AW160" s="31"/>
      <c r="AX160" s="60">
        <f t="shared" ref="AX160:AX162" si="266">SUM(AV160:AW160)</f>
        <v>0</v>
      </c>
      <c r="AY160" s="60">
        <f t="shared" si="260"/>
        <v>0</v>
      </c>
    </row>
    <row r="161" spans="1:58" ht="15" customHeight="1" x14ac:dyDescent="0.25">
      <c r="A161" s="21" t="s">
        <v>11</v>
      </c>
      <c r="B161" s="81"/>
      <c r="C161" s="31"/>
      <c r="D161" s="31"/>
      <c r="E161" s="31"/>
      <c r="F161" s="31"/>
      <c r="G161" s="31"/>
      <c r="H161" s="31"/>
      <c r="I161" s="31"/>
      <c r="J161" s="60">
        <f t="shared" si="250"/>
        <v>0</v>
      </c>
      <c r="K161" s="60"/>
      <c r="L161" s="31"/>
      <c r="M161" s="31"/>
      <c r="N161" s="31"/>
      <c r="O161" s="31"/>
      <c r="P161" s="31"/>
      <c r="Q161" s="31"/>
      <c r="R161" s="31"/>
      <c r="S161" s="60">
        <f t="shared" si="252"/>
        <v>0</v>
      </c>
      <c r="T161" s="60"/>
      <c r="U161" s="31"/>
      <c r="V161" s="31"/>
      <c r="W161" s="31"/>
      <c r="X161" s="31"/>
      <c r="Y161" s="31"/>
      <c r="Z161" s="31"/>
      <c r="AA161" s="31"/>
      <c r="AB161" s="60">
        <f t="shared" si="254"/>
        <v>0</v>
      </c>
      <c r="AC161" s="60"/>
      <c r="AD161" s="31"/>
      <c r="AE161" s="31"/>
      <c r="AF161" s="31"/>
      <c r="AG161" s="31"/>
      <c r="AH161" s="31"/>
      <c r="AI161" s="31"/>
      <c r="AJ161" s="31"/>
      <c r="AK161" s="60">
        <f t="shared" si="256"/>
        <v>0</v>
      </c>
      <c r="AL161" s="60"/>
      <c r="AM161" s="31"/>
      <c r="AN161" s="31"/>
      <c r="AO161" s="31"/>
      <c r="AP161" s="31"/>
      <c r="AQ161" s="31"/>
      <c r="AR161" s="31"/>
      <c r="AS161" s="31"/>
      <c r="AT161" s="60">
        <f t="shared" si="258"/>
        <v>0</v>
      </c>
      <c r="AU161" s="60"/>
      <c r="AV161" s="31"/>
      <c r="AW161" s="31"/>
      <c r="AX161" s="60">
        <f t="shared" si="266"/>
        <v>0</v>
      </c>
      <c r="AY161" s="60">
        <f t="shared" si="260"/>
        <v>0</v>
      </c>
    </row>
    <row r="162" spans="1:58" ht="15" customHeight="1" x14ac:dyDescent="0.25">
      <c r="A162" s="36" t="s">
        <v>10</v>
      </c>
      <c r="B162" s="82"/>
      <c r="C162" s="31"/>
      <c r="D162" s="31"/>
      <c r="E162" s="31"/>
      <c r="F162" s="31"/>
      <c r="G162" s="31"/>
      <c r="H162" s="31"/>
      <c r="I162" s="31"/>
      <c r="J162" s="60">
        <f t="shared" si="250"/>
        <v>0</v>
      </c>
      <c r="K162" s="60"/>
      <c r="L162" s="31"/>
      <c r="M162" s="31"/>
      <c r="N162" s="31"/>
      <c r="O162" s="31"/>
      <c r="P162" s="31"/>
      <c r="Q162" s="31"/>
      <c r="R162" s="31"/>
      <c r="S162" s="60">
        <f t="shared" si="252"/>
        <v>0</v>
      </c>
      <c r="T162" s="60"/>
      <c r="U162" s="31"/>
      <c r="V162" s="31"/>
      <c r="W162" s="31"/>
      <c r="X162" s="31"/>
      <c r="Y162" s="31"/>
      <c r="Z162" s="31"/>
      <c r="AA162" s="31"/>
      <c r="AB162" s="60">
        <f t="shared" si="254"/>
        <v>0</v>
      </c>
      <c r="AC162" s="60"/>
      <c r="AD162" s="31"/>
      <c r="AE162" s="31"/>
      <c r="AF162" s="31"/>
      <c r="AG162" s="31"/>
      <c r="AH162" s="31"/>
      <c r="AI162" s="31"/>
      <c r="AJ162" s="31"/>
      <c r="AK162" s="60">
        <f t="shared" si="256"/>
        <v>0</v>
      </c>
      <c r="AL162" s="60"/>
      <c r="AM162" s="31"/>
      <c r="AN162" s="31"/>
      <c r="AO162" s="31"/>
      <c r="AP162" s="31"/>
      <c r="AQ162" s="31"/>
      <c r="AR162" s="31"/>
      <c r="AS162" s="31"/>
      <c r="AT162" s="60">
        <f t="shared" si="258"/>
        <v>0</v>
      </c>
      <c r="AU162" s="60"/>
      <c r="AV162" s="31"/>
      <c r="AW162" s="31"/>
      <c r="AX162" s="60">
        <f t="shared" si="266"/>
        <v>0</v>
      </c>
      <c r="AY162" s="60">
        <f t="shared" si="260"/>
        <v>0</v>
      </c>
    </row>
    <row r="163" spans="1:58" s="33" customFormat="1" ht="15" customHeight="1" x14ac:dyDescent="0.25">
      <c r="A163" s="36" t="s">
        <v>44</v>
      </c>
      <c r="B163" s="82"/>
      <c r="C163" s="60">
        <f>IF(C151="nuit",C154*0.02,0)</f>
        <v>0</v>
      </c>
      <c r="D163" s="60">
        <f>IF(D151="nuit",D154*0.02,0)</f>
        <v>0</v>
      </c>
      <c r="E163" s="60">
        <f t="shared" ref="E163:I163" si="267">IF(E151="nuit",E154*0.02,0)</f>
        <v>0</v>
      </c>
      <c r="F163" s="60">
        <f t="shared" si="267"/>
        <v>0</v>
      </c>
      <c r="G163" s="60">
        <f>IF(G151="nuit",G154*0.02,0)</f>
        <v>0</v>
      </c>
      <c r="H163" s="60">
        <f t="shared" si="267"/>
        <v>0</v>
      </c>
      <c r="I163" s="60">
        <f t="shared" si="267"/>
        <v>0</v>
      </c>
      <c r="J163" s="60">
        <f t="shared" si="250"/>
        <v>0</v>
      </c>
      <c r="K163" s="60"/>
      <c r="L163" s="60">
        <f>IF(L151="nuit",L154*0.02,0)</f>
        <v>0</v>
      </c>
      <c r="M163" s="60">
        <f>IF(M151="nuit",M154*0.02,0)</f>
        <v>0</v>
      </c>
      <c r="N163" s="60">
        <f t="shared" ref="N163:R163" si="268">IF(N151="nuit",N154*0.02,0)</f>
        <v>0</v>
      </c>
      <c r="O163" s="60">
        <f t="shared" si="268"/>
        <v>0</v>
      </c>
      <c r="P163" s="60">
        <f>IF(P151="nuit",P154*0.02,0)</f>
        <v>0</v>
      </c>
      <c r="Q163" s="60">
        <f t="shared" si="268"/>
        <v>0</v>
      </c>
      <c r="R163" s="60">
        <f t="shared" si="268"/>
        <v>0</v>
      </c>
      <c r="S163" s="60">
        <f t="shared" si="252"/>
        <v>0</v>
      </c>
      <c r="T163" s="60"/>
      <c r="U163" s="60">
        <f>IF(U151="nuit",U154*0.02,0)</f>
        <v>0</v>
      </c>
      <c r="V163" s="60">
        <f>IF(V151="nuit",V154*0.02,0)</f>
        <v>0</v>
      </c>
      <c r="W163" s="60">
        <f t="shared" ref="W163:AA163" si="269">IF(W151="nuit",W154*0.02,0)</f>
        <v>0</v>
      </c>
      <c r="X163" s="60">
        <f t="shared" si="269"/>
        <v>0</v>
      </c>
      <c r="Y163" s="60">
        <f>IF(Y151="nuit",Y154*0.02,0)</f>
        <v>0</v>
      </c>
      <c r="Z163" s="60">
        <f t="shared" si="269"/>
        <v>0</v>
      </c>
      <c r="AA163" s="60">
        <f t="shared" si="269"/>
        <v>0</v>
      </c>
      <c r="AB163" s="60">
        <f t="shared" si="254"/>
        <v>0</v>
      </c>
      <c r="AC163" s="60"/>
      <c r="AD163" s="60">
        <f>IF(AD151="nuit",AD154*0.02,0)</f>
        <v>0</v>
      </c>
      <c r="AE163" s="60">
        <f>IF(AE151="nuit",AE154*0.02,0)</f>
        <v>0</v>
      </c>
      <c r="AF163" s="60">
        <f t="shared" ref="AF163:AJ163" si="270">IF(AF151="nuit",AF154*0.02,0)</f>
        <v>0</v>
      </c>
      <c r="AG163" s="60">
        <f t="shared" si="270"/>
        <v>0</v>
      </c>
      <c r="AH163" s="60">
        <f>IF(AH151="nuit",AH154*0.02,0)</f>
        <v>0</v>
      </c>
      <c r="AI163" s="60">
        <f t="shared" si="270"/>
        <v>0</v>
      </c>
      <c r="AJ163" s="60">
        <f t="shared" si="270"/>
        <v>0</v>
      </c>
      <c r="AK163" s="60">
        <f t="shared" si="256"/>
        <v>0</v>
      </c>
      <c r="AL163" s="60"/>
      <c r="AM163" s="60">
        <f>IF(AM151="nuit",AM154*0.02,0)</f>
        <v>0</v>
      </c>
      <c r="AN163" s="60">
        <f>IF(AN151="nuit",AN154*0.02,0)</f>
        <v>0</v>
      </c>
      <c r="AO163" s="60">
        <f t="shared" ref="AO163:AS163" si="271">IF(AO151="nuit",AO154*0.02,0)</f>
        <v>0</v>
      </c>
      <c r="AP163" s="60">
        <f t="shared" si="271"/>
        <v>0</v>
      </c>
      <c r="AQ163" s="60">
        <f>IF(AQ151="nuit",AQ154*0.02,0)</f>
        <v>0</v>
      </c>
      <c r="AR163" s="60">
        <f t="shared" si="271"/>
        <v>0</v>
      </c>
      <c r="AS163" s="60">
        <f t="shared" si="271"/>
        <v>0</v>
      </c>
      <c r="AT163" s="60">
        <f t="shared" si="258"/>
        <v>0</v>
      </c>
      <c r="AU163" s="60"/>
      <c r="AV163" s="60">
        <f>IF(AV151="nuit",AV154*0.02,0)</f>
        <v>0</v>
      </c>
      <c r="AW163" s="60">
        <f>IF(AW151="nuit",AW154*0.02,0)</f>
        <v>0</v>
      </c>
      <c r="AX163" s="60">
        <f>SUM(AV163:AW163)</f>
        <v>0</v>
      </c>
      <c r="AY163" s="60">
        <f>J163+S163+AB163+AK163+AT163+AX163</f>
        <v>0</v>
      </c>
      <c r="AZ163" s="52"/>
      <c r="BA163" s="52"/>
      <c r="BB163" s="52"/>
      <c r="BC163" s="52"/>
      <c r="BD163" s="52"/>
      <c r="BE163" s="52"/>
      <c r="BF163" s="35"/>
    </row>
    <row r="164" spans="1:58" ht="15" customHeight="1" x14ac:dyDescent="0.25">
      <c r="A164" s="21" t="s">
        <v>31</v>
      </c>
      <c r="B164" s="81"/>
      <c r="C164" s="31"/>
      <c r="D164" s="31"/>
      <c r="E164" s="31"/>
      <c r="F164" s="31"/>
      <c r="G164" s="31"/>
      <c r="H164" s="37"/>
      <c r="I164" s="37"/>
      <c r="J164" s="64"/>
      <c r="K164" s="64"/>
      <c r="L164" s="37"/>
      <c r="M164" s="37"/>
      <c r="N164" s="37"/>
      <c r="O164" s="37"/>
      <c r="P164" s="37"/>
      <c r="Q164" s="37"/>
      <c r="R164" s="37"/>
      <c r="S164" s="64"/>
      <c r="T164" s="64"/>
      <c r="U164" s="37"/>
      <c r="V164" s="37"/>
      <c r="W164" s="37"/>
      <c r="X164" s="37"/>
      <c r="Y164" s="37"/>
      <c r="Z164" s="37"/>
      <c r="AA164" s="37"/>
      <c r="AB164" s="64"/>
      <c r="AC164" s="64"/>
      <c r="AD164" s="37"/>
      <c r="AE164" s="37"/>
      <c r="AF164" s="37"/>
      <c r="AG164" s="37"/>
      <c r="AH164" s="37"/>
      <c r="AI164" s="37"/>
      <c r="AJ164" s="37"/>
      <c r="AK164" s="64"/>
      <c r="AL164" s="64"/>
      <c r="AM164" s="37"/>
      <c r="AN164" s="37"/>
      <c r="AO164" s="37"/>
      <c r="AP164" s="37"/>
      <c r="AQ164" s="37"/>
      <c r="AR164" s="37"/>
      <c r="AS164" s="37"/>
      <c r="AT164" s="64"/>
      <c r="AU164" s="64"/>
      <c r="AV164" s="37"/>
      <c r="AW164" s="37"/>
      <c r="AX164" s="64"/>
      <c r="AY164" s="65"/>
    </row>
    <row r="165" spans="1:58" ht="15" customHeight="1" x14ac:dyDescent="0.25">
      <c r="A165" s="38"/>
      <c r="B165" s="38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69"/>
    </row>
    <row r="166" spans="1:58" ht="27.6" x14ac:dyDescent="0.25">
      <c r="A166" s="21"/>
      <c r="B166" s="21"/>
      <c r="C166" s="24" t="s">
        <v>28</v>
      </c>
      <c r="D166" s="24"/>
      <c r="E166" s="24"/>
      <c r="F166" s="24"/>
      <c r="G166" s="24"/>
      <c r="H166" s="95">
        <f>Année_Calendaire</f>
        <v>2016</v>
      </c>
      <c r="I166" s="95"/>
      <c r="J166" s="88"/>
      <c r="K166" s="88"/>
      <c r="L166" s="31"/>
      <c r="M166" s="31"/>
      <c r="N166" s="31"/>
      <c r="O166" s="31"/>
      <c r="P166" s="31"/>
      <c r="Q166" s="31"/>
      <c r="R166" s="31"/>
      <c r="S166" s="88"/>
      <c r="T166" s="88"/>
      <c r="U166" s="24" t="s">
        <v>28</v>
      </c>
      <c r="V166" s="24"/>
      <c r="W166" s="24"/>
      <c r="X166" s="24"/>
      <c r="Y166" s="24"/>
      <c r="Z166" s="95">
        <f>Année_Calendaire</f>
        <v>2016</v>
      </c>
      <c r="AA166" s="95"/>
      <c r="AB166" s="88"/>
      <c r="AC166" s="88"/>
      <c r="AD166" s="31"/>
      <c r="AE166" s="31"/>
      <c r="AF166" s="31"/>
      <c r="AG166" s="31"/>
      <c r="AH166" s="31"/>
      <c r="AI166" s="31"/>
      <c r="AJ166" s="31"/>
      <c r="AK166" s="88"/>
      <c r="AL166" s="88"/>
      <c r="AM166" s="24" t="s">
        <v>28</v>
      </c>
      <c r="AN166" s="24"/>
      <c r="AO166" s="24"/>
      <c r="AP166" s="24"/>
      <c r="AQ166" s="24"/>
      <c r="AR166" s="95">
        <f>Année_Calendaire</f>
        <v>2016</v>
      </c>
      <c r="AS166" s="95"/>
      <c r="AT166" s="88"/>
      <c r="AU166" s="88"/>
      <c r="AV166" s="31"/>
      <c r="AW166" s="31"/>
      <c r="AX166" s="88"/>
    </row>
    <row r="167" spans="1:58" ht="29.25" customHeight="1" x14ac:dyDescent="0.25">
      <c r="A167" s="31"/>
      <c r="B167" s="60"/>
      <c r="C167" s="62" t="s">
        <v>13</v>
      </c>
      <c r="D167" s="62" t="s">
        <v>14</v>
      </c>
      <c r="E167" s="62" t="s">
        <v>15</v>
      </c>
      <c r="F167" s="62" t="s">
        <v>16</v>
      </c>
      <c r="G167" s="62" t="s">
        <v>17</v>
      </c>
      <c r="H167" s="62" t="s">
        <v>18</v>
      </c>
      <c r="I167" s="62" t="s">
        <v>19</v>
      </c>
      <c r="J167" s="96" t="s">
        <v>32</v>
      </c>
      <c r="K167" s="87"/>
      <c r="L167" s="62" t="s">
        <v>13</v>
      </c>
      <c r="M167" s="62" t="s">
        <v>14</v>
      </c>
      <c r="N167" s="62" t="s">
        <v>15</v>
      </c>
      <c r="O167" s="62" t="s">
        <v>16</v>
      </c>
      <c r="P167" s="62" t="s">
        <v>17</v>
      </c>
      <c r="Q167" s="62" t="s">
        <v>18</v>
      </c>
      <c r="R167" s="62" t="s">
        <v>19</v>
      </c>
      <c r="S167" s="96" t="s">
        <v>32</v>
      </c>
      <c r="T167" s="87"/>
      <c r="U167" s="62" t="s">
        <v>13</v>
      </c>
      <c r="V167" s="62" t="s">
        <v>14</v>
      </c>
      <c r="W167" s="62" t="s">
        <v>15</v>
      </c>
      <c r="X167" s="62" t="s">
        <v>16</v>
      </c>
      <c r="Y167" s="62" t="s">
        <v>17</v>
      </c>
      <c r="Z167" s="62" t="s">
        <v>18</v>
      </c>
      <c r="AA167" s="62" t="s">
        <v>19</v>
      </c>
      <c r="AB167" s="96" t="s">
        <v>32</v>
      </c>
      <c r="AC167" s="87"/>
      <c r="AD167" s="62" t="s">
        <v>13</v>
      </c>
      <c r="AE167" s="62" t="s">
        <v>14</v>
      </c>
      <c r="AF167" s="62" t="s">
        <v>15</v>
      </c>
      <c r="AG167" s="62" t="s">
        <v>16</v>
      </c>
      <c r="AH167" s="62" t="s">
        <v>17</v>
      </c>
      <c r="AI167" s="62" t="s">
        <v>18</v>
      </c>
      <c r="AJ167" s="62" t="s">
        <v>19</v>
      </c>
      <c r="AK167" s="96" t="s">
        <v>32</v>
      </c>
      <c r="AL167" s="87"/>
      <c r="AM167" s="62" t="s">
        <v>13</v>
      </c>
      <c r="AN167" s="62" t="s">
        <v>14</v>
      </c>
      <c r="AO167" s="62" t="s">
        <v>15</v>
      </c>
      <c r="AP167" s="62" t="s">
        <v>16</v>
      </c>
      <c r="AQ167" s="62" t="s">
        <v>17</v>
      </c>
      <c r="AR167" s="62" t="s">
        <v>18</v>
      </c>
      <c r="AS167" s="62" t="s">
        <v>19</v>
      </c>
      <c r="AT167" s="96" t="s">
        <v>32</v>
      </c>
      <c r="AU167" s="87"/>
      <c r="AV167" s="62" t="s">
        <v>13</v>
      </c>
      <c r="AW167" s="62" t="s">
        <v>14</v>
      </c>
      <c r="AX167" s="96" t="s">
        <v>32</v>
      </c>
      <c r="AY167" s="96" t="s">
        <v>35</v>
      </c>
      <c r="AZ167" s="97">
        <f>AY174+AY175+AY176</f>
        <v>0</v>
      </c>
      <c r="BA167" s="97">
        <f>AZ167+BA149</f>
        <v>15</v>
      </c>
    </row>
    <row r="168" spans="1:58" ht="15" customHeight="1" x14ac:dyDescent="0.25">
      <c r="A168" s="45"/>
      <c r="B168" s="84"/>
      <c r="C168" s="67" t="str">
        <f>IF(DAY(Oct_Dim1)=1,"",IF(AND(YEAR(Oct_Dim1+1)=Année_Calendaire,MONTH(Oct_Dim1+1)=10),Oct_Dim1+1,""))</f>
        <v/>
      </c>
      <c r="D168" s="67" t="str">
        <f>IF(DAY(Oct_Dim1)=1,"",IF(AND(YEAR(Oct_Dim1+2)=Année_Calendaire,MONTH(Oct_Dim1+2)=10),Oct_Dim1+2,""))</f>
        <v/>
      </c>
      <c r="E168" s="67" t="str">
        <f>IF(DAY(Oct_Dim1)=1,"",IF(AND(YEAR(Oct_Dim1+3)=Année_Calendaire,MONTH(Oct_Dim1+3)=10),Oct_Dim1+3,""))</f>
        <v/>
      </c>
      <c r="F168" s="67" t="str">
        <f>IF(DAY(Oct_Dim1)=1,"",IF(AND(YEAR(Oct_Dim1+4)=Année_Calendaire,MONTH(Oct_Dim1+4)=10),Oct_Dim1+4,""))</f>
        <v/>
      </c>
      <c r="G168" s="67" t="str">
        <f>IF(DAY(Oct_Dim1)=1,"",IF(AND(YEAR(Oct_Dim1+5)=Année_Calendaire,MONTH(Oct_Dim1+5)=10),Oct_Dim1+5,""))</f>
        <v/>
      </c>
      <c r="H168" s="67">
        <f>IF(DAY(Oct_Dim1)=1,"",IF(AND(YEAR(Oct_Dim1+6)=Année_Calendaire,MONTH(Oct_Dim1+6)=10),Oct_Dim1+6,""))</f>
        <v>42644</v>
      </c>
      <c r="I168" s="67">
        <f>IF(DAY(Oct_Dim1)=1,IF(AND(YEAR(Oct_Dim1)=Année_Calendaire,MONTH(Oct_Dim1)=10),Oct_Dim1,""),IF(AND(YEAR(Oct_Dim1+7)=Année_Calendaire,MONTH(Oct_Dim1+7)=10),Oct_Dim1+7,""))</f>
        <v>42645</v>
      </c>
      <c r="J168" s="96"/>
      <c r="K168" s="87"/>
      <c r="L168" s="67">
        <f>IF(DAY(Oct_Dim1)=1,IF(AND(YEAR(Oct_Dim1+1)=Année_Calendaire,MONTH(Oct_Dim1+1)=10),Oct_Dim1+1,""),IF(AND(YEAR(Oct_Dim1+8)=Année_Calendaire,MONTH(Oct_Dim1+8)=10),Oct_Dim1+8,""))</f>
        <v>42646</v>
      </c>
      <c r="M168" s="67">
        <f>IF(DAY(Oct_Dim1)=1,IF(AND(YEAR(Oct_Dim1+2)=Année_Calendaire,MONTH(Oct_Dim1+2)=10),Oct_Dim1+2,""),IF(AND(YEAR(Oct_Dim1+9)=Année_Calendaire,MONTH(Oct_Dim1+9)=10),Oct_Dim1+9,""))</f>
        <v>42647</v>
      </c>
      <c r="N168" s="67">
        <f>IF(DAY(Oct_Dim1)=1,IF(AND(YEAR(Oct_Dim1+3)=Année_Calendaire,MONTH(Oct_Dim1+3)=10),Oct_Dim1+3,""),IF(AND(YEAR(Oct_Dim1+10)=Année_Calendaire,MONTH(Oct_Dim1+10)=10),Oct_Dim1+10,""))</f>
        <v>42648</v>
      </c>
      <c r="O168" s="67">
        <f>IF(DAY(Oct_Dim1)=1,IF(AND(YEAR(Oct_Dim1+4)=Année_Calendaire,MONTH(Oct_Dim1+4)=10),Oct_Dim1+4,""),IF(AND(YEAR(Oct_Dim1+11)=Année_Calendaire,MONTH(Oct_Dim1+11)=10),Oct_Dim1+11,""))</f>
        <v>42649</v>
      </c>
      <c r="P168" s="67">
        <f>IF(DAY(Oct_Dim1)=1,IF(AND(YEAR(Oct_Dim1+5)=Année_Calendaire,MONTH(Oct_Dim1+5)=10),Oct_Dim1+5,""),IF(AND(YEAR(Oct_Dim1+12)=Année_Calendaire,MONTH(Oct_Dim1+12)=10),Oct_Dim1+12,""))</f>
        <v>42650</v>
      </c>
      <c r="Q168" s="67">
        <f>IF(DAY(Oct_Dim1)=1,IF(AND(YEAR(Oct_Dim1+6)=Année_Calendaire,MONTH(Oct_Dim1+6)=10),Oct_Dim1+6,""),IF(AND(YEAR(Oct_Dim1+13)=Année_Calendaire,MONTH(Oct_Dim1+13)=10),Oct_Dim1+13,""))</f>
        <v>42651</v>
      </c>
      <c r="R168" s="67">
        <f>IF(DAY(Oct_Dim1)=1,IF(AND(YEAR(Oct_Dim1+7)=Année_Calendaire,MONTH(Oct_Dim1+7)=10),Oct_Dim1+7,""),IF(AND(YEAR(Oct_Dim1+14)=Année_Calendaire,MONTH(Oct_Dim1+14)=10),Oct_Dim1+14,""))</f>
        <v>42652</v>
      </c>
      <c r="S168" s="96"/>
      <c r="T168" s="87"/>
      <c r="U168" s="67">
        <f>IF(DAY(Oct_Dim1)=1,IF(AND(YEAR(Oct_Dim1+8)=Année_Calendaire,MONTH(Oct_Dim1+8)=10),Oct_Dim1+8,""),IF(AND(YEAR(Oct_Dim1+15)=Année_Calendaire,MONTH(Oct_Dim1+15)=10),Oct_Dim1+15,""))</f>
        <v>42653</v>
      </c>
      <c r="V168" s="67">
        <f>IF(DAY(Oct_Dim1)=1,IF(AND(YEAR(Oct_Dim1+9)=Année_Calendaire,MONTH(Oct_Dim1+9)=10),Oct_Dim1+9,""),IF(AND(YEAR(Oct_Dim1+16)=Année_Calendaire,MONTH(Oct_Dim1+16)=10),Oct_Dim1+16,""))</f>
        <v>42654</v>
      </c>
      <c r="W168" s="67">
        <f>IF(DAY(Oct_Dim1)=1,IF(AND(YEAR(Oct_Dim1+10)=Année_Calendaire,MONTH(Oct_Dim1+10)=10),Oct_Dim1+10,""),IF(AND(YEAR(Oct_Dim1+17)=Année_Calendaire,MONTH(Oct_Dim1+17)=10),Oct_Dim1+17,""))</f>
        <v>42655</v>
      </c>
      <c r="X168" s="67">
        <f>IF(DAY(Oct_Dim1)=1,IF(AND(YEAR(Oct_Dim1+11)=Année_Calendaire,MONTH(Oct_Dim1+11)=10),Oct_Dim1+11,""),IF(AND(YEAR(Oct_Dim1+18)=Année_Calendaire,MONTH(Oct_Dim1+18)=10),Oct_Dim1+18,""))</f>
        <v>42656</v>
      </c>
      <c r="Y168" s="67">
        <f>IF(DAY(Oct_Dim1)=1,IF(AND(YEAR(Oct_Dim1+12)=Année_Calendaire,MONTH(Oct_Dim1+12)=10),Oct_Dim1+12,""),IF(AND(YEAR(Oct_Dim1+19)=Année_Calendaire,MONTH(Oct_Dim1+19)=10),Oct_Dim1+19,""))</f>
        <v>42657</v>
      </c>
      <c r="Z168" s="67">
        <f>IF(DAY(Oct_Dim1)=1,IF(AND(YEAR(Oct_Dim1+13)=Année_Calendaire,MONTH(Oct_Dim1+13)=10),Oct_Dim1+13,""),IF(AND(YEAR(Oct_Dim1+20)=Année_Calendaire,MONTH(Oct_Dim1+20)=10),Oct_Dim1+20,""))</f>
        <v>42658</v>
      </c>
      <c r="AA168" s="67">
        <f>IF(DAY(Oct_Dim1)=1,IF(AND(YEAR(Oct_Dim1+14)=Année_Calendaire,MONTH(Oct_Dim1+14)=10),Oct_Dim1+14,""),IF(AND(YEAR(Oct_Dim1+21)=Année_Calendaire,MONTH(Oct_Dim1+21)=10),Oct_Dim1+21,""))</f>
        <v>42659</v>
      </c>
      <c r="AB168" s="96"/>
      <c r="AC168" s="87"/>
      <c r="AD168" s="67">
        <f>IF(DAY(Oct_Dim1)=1,IF(AND(YEAR(Oct_Dim1+15)=Année_Calendaire,MONTH(Oct_Dim1+15)=10),Oct_Dim1+15,""),IF(AND(YEAR(Oct_Dim1+22)=Année_Calendaire,MONTH(Oct_Dim1+22)=10),Oct_Dim1+22,""))</f>
        <v>42660</v>
      </c>
      <c r="AE168" s="67">
        <f>IF(DAY(Oct_Dim1)=1,IF(AND(YEAR(Oct_Dim1+16)=Année_Calendaire,MONTH(Oct_Dim1+16)=10),Oct_Dim1+16,""),IF(AND(YEAR(Oct_Dim1+23)=Année_Calendaire,MONTH(Oct_Dim1+23)=10),Oct_Dim1+23,""))</f>
        <v>42661</v>
      </c>
      <c r="AF168" s="67">
        <f>IF(DAY(Oct_Dim1)=1,IF(AND(YEAR(Oct_Dim1+17)=Année_Calendaire,MONTH(Oct_Dim1+17)=10),Oct_Dim1+17,""),IF(AND(YEAR(Oct_Dim1+24)=Année_Calendaire,MONTH(Oct_Dim1+24)=10),Oct_Dim1+24,""))</f>
        <v>42662</v>
      </c>
      <c r="AG168" s="67">
        <f>IF(DAY(Oct_Dim1)=1,IF(AND(YEAR(Oct_Dim1+18)=Année_Calendaire,MONTH(Oct_Dim1+18)=10),Oct_Dim1+18,""),IF(AND(YEAR(Oct_Dim1+25)=Année_Calendaire,MONTH(Oct_Dim1+25)=10),Oct_Dim1+25,""))</f>
        <v>42663</v>
      </c>
      <c r="AH168" s="67">
        <f>IF(DAY(Oct_Dim1)=1,IF(AND(YEAR(Oct_Dim1+19)=Année_Calendaire,MONTH(Oct_Dim1+19)=10),Oct_Dim1+19,""),IF(AND(YEAR(Oct_Dim1+26)=Année_Calendaire,MONTH(Oct_Dim1+26)=10),Oct_Dim1+26,""))</f>
        <v>42664</v>
      </c>
      <c r="AI168" s="67">
        <f>IF(DAY(Oct_Dim1)=1,IF(AND(YEAR(Oct_Dim1+20)=Année_Calendaire,MONTH(Oct_Dim1+20)=10),Oct_Dim1+20,""),IF(AND(YEAR(Oct_Dim1+27)=Année_Calendaire,MONTH(Oct_Dim1+27)=10),Oct_Dim1+27,""))</f>
        <v>42665</v>
      </c>
      <c r="AJ168" s="67">
        <f>IF(DAY(Oct_Dim1)=1,IF(AND(YEAR(Oct_Dim1+21)=Année_Calendaire,MONTH(Oct_Dim1+21)=10),Oct_Dim1+21,""),IF(AND(YEAR(Oct_Dim1+28)=Année_Calendaire,MONTH(Oct_Dim1+28)=10),Oct_Dim1+28,""))</f>
        <v>42666</v>
      </c>
      <c r="AK168" s="96"/>
      <c r="AL168" s="87"/>
      <c r="AM168" s="67">
        <f>IF(DAY(Oct_Dim1)=1,IF(AND(YEAR(Oct_Dim1+22)=Année_Calendaire,MONTH(Oct_Dim1+22)=10),Oct_Dim1+22,""),IF(AND(YEAR(Oct_Dim1+29)=Année_Calendaire,MONTH(Oct_Dim1+29)=10),Oct_Dim1+29,""))</f>
        <v>42667</v>
      </c>
      <c r="AN168" s="67">
        <f>IF(DAY(Oct_Dim1)=1,IF(AND(YEAR(Oct_Dim1+23)=Année_Calendaire,MONTH(Oct_Dim1+23)=10),Oct_Dim1+23,""),IF(AND(YEAR(Oct_Dim1+30)=Année_Calendaire,MONTH(Oct_Dim1+30)=10),Oct_Dim1+30,""))</f>
        <v>42668</v>
      </c>
      <c r="AO168" s="67">
        <f>IF(DAY(Oct_Dim1)=1,IF(AND(YEAR(Oct_Dim1+24)=Année_Calendaire,MONTH(Oct_Dim1+24)=10),Oct_Dim1+24,""),IF(AND(YEAR(Oct_Dim1+31)=Année_Calendaire,MONTH(Oct_Dim1+31)=10),Oct_Dim1+31,""))</f>
        <v>42669</v>
      </c>
      <c r="AP168" s="67">
        <f>IF(DAY(Oct_Dim1)=1,IF(AND(YEAR(Oct_Dim1+25)=Année_Calendaire,MONTH(Oct_Dim1+25)=10),Oct_Dim1+25,""),IF(AND(YEAR(Oct_Dim1+32)=Année_Calendaire,MONTH(Oct_Dim1+32)=10),Oct_Dim1+32,""))</f>
        <v>42670</v>
      </c>
      <c r="AQ168" s="67">
        <f>IF(DAY(Oct_Dim1)=1,IF(AND(YEAR(Oct_Dim1+26)=Année_Calendaire,MONTH(Oct_Dim1+26)=10),Oct_Dim1+26,""),IF(AND(YEAR(Oct_Dim1+33)=Année_Calendaire,MONTH(Oct_Dim1+33)=10),Oct_Dim1+33,""))</f>
        <v>42671</v>
      </c>
      <c r="AR168" s="67">
        <f>IF(DAY(Oct_Dim1)=1,IF(AND(YEAR(Oct_Dim1+27)=Année_Calendaire,MONTH(Oct_Dim1+27)=10),Oct_Dim1+27,""),IF(AND(YEAR(Oct_Dim1+34)=Année_Calendaire,MONTH(Oct_Dim1+34)=10),Oct_Dim1+34,""))</f>
        <v>42672</v>
      </c>
      <c r="AS168" s="67">
        <f>IF(DAY(Oct_Dim1)=1,IF(AND(YEAR(Oct_Dim1+28)=Année_Calendaire,MONTH(Oct_Dim1+28)=10),Oct_Dim1+28,""),IF(AND(YEAR(Oct_Dim1+35)=Année_Calendaire,MONTH(Oct_Dim1+35)=10),Oct_Dim1+35,""))</f>
        <v>42673</v>
      </c>
      <c r="AT168" s="96"/>
      <c r="AU168" s="87"/>
      <c r="AV168" s="61">
        <f>IF(DAY(Oct_Dim1)=1,IF(AND(YEAR(Oct_Dim1+29)=Année_Calendaire,MONTH(Oct_Dim1+29)=10),Oct_Dim1+29,""),IF(AND(YEAR(Oct_Dim1+36)=Année_Calendaire,MONTH(Oct_Dim1+36)=10),Oct_Dim1+36,""))</f>
        <v>42674</v>
      </c>
      <c r="AW168" s="61" t="str">
        <f>IF(DAY(Oct_Dim1)=1,IF(AND(YEAR(Oct_Dim1+30)=Année_Calendaire,MONTH(Oct_Dim1+30)=10),Oct_Dim1+30,""),IF(AND(YEAR(Oct_Dim1+37)=Année_Calendaire,MONTH(Oct_Dim1+37)=10),Oct_Dim1+37,""))</f>
        <v/>
      </c>
      <c r="AX168" s="96"/>
      <c r="AY168" s="96"/>
      <c r="AZ168" s="97"/>
      <c r="BA168" s="97"/>
    </row>
    <row r="169" spans="1:58" ht="15" customHeight="1" x14ac:dyDescent="0.25">
      <c r="A169" s="21" t="s">
        <v>2</v>
      </c>
      <c r="B169" s="81"/>
      <c r="C169" s="31"/>
      <c r="D169" s="31"/>
      <c r="E169" s="31"/>
      <c r="F169" s="31"/>
      <c r="G169" s="31"/>
      <c r="H169" s="31"/>
      <c r="I169" s="31"/>
      <c r="J169" s="60"/>
      <c r="K169" s="60"/>
      <c r="L169" s="31"/>
      <c r="M169" s="31"/>
      <c r="N169" s="31"/>
      <c r="O169" s="31"/>
      <c r="P169" s="31"/>
      <c r="Q169" s="31"/>
      <c r="R169" s="31"/>
      <c r="S169" s="60"/>
      <c r="T169" s="60"/>
      <c r="U169" s="31"/>
      <c r="V169" s="31"/>
      <c r="W169" s="31"/>
      <c r="X169" s="31"/>
      <c r="Y169" s="31"/>
      <c r="Z169" s="31"/>
      <c r="AA169" s="31"/>
      <c r="AB169" s="60"/>
      <c r="AC169" s="60"/>
      <c r="AD169" s="31"/>
      <c r="AE169" s="31"/>
      <c r="AF169" s="31"/>
      <c r="AG169" s="31"/>
      <c r="AH169" s="31"/>
      <c r="AI169" s="31"/>
      <c r="AJ169" s="31"/>
      <c r="AK169" s="60"/>
      <c r="AL169" s="60"/>
      <c r="AM169" s="31"/>
      <c r="AN169" s="31"/>
      <c r="AO169" s="31"/>
      <c r="AP169" s="31"/>
      <c r="AQ169" s="31"/>
      <c r="AR169" s="31"/>
      <c r="AS169" s="31"/>
      <c r="AT169" s="60"/>
      <c r="AU169" s="60"/>
      <c r="AV169" s="31"/>
      <c r="AW169" s="31"/>
      <c r="AX169" s="60"/>
      <c r="AY169" s="63"/>
    </row>
    <row r="170" spans="1:58" ht="15" customHeight="1" x14ac:dyDescent="0.25">
      <c r="A170" s="21" t="s">
        <v>12</v>
      </c>
      <c r="B170" s="81"/>
      <c r="C170" s="60">
        <f t="shared" ref="C170:I170" si="272">IF(C169="Matin",1,IF(C169="AM",1,0))</f>
        <v>0</v>
      </c>
      <c r="D170" s="60">
        <f t="shared" si="272"/>
        <v>0</v>
      </c>
      <c r="E170" s="60">
        <f t="shared" si="272"/>
        <v>0</v>
      </c>
      <c r="F170" s="60">
        <f t="shared" si="272"/>
        <v>0</v>
      </c>
      <c r="G170" s="60">
        <f t="shared" si="272"/>
        <v>0</v>
      </c>
      <c r="H170" s="60">
        <f t="shared" si="272"/>
        <v>0</v>
      </c>
      <c r="I170" s="60">
        <f t="shared" si="272"/>
        <v>0</v>
      </c>
      <c r="J170" s="60">
        <f>SUM(C170:I170)</f>
        <v>0</v>
      </c>
      <c r="K170" s="60"/>
      <c r="L170" s="60">
        <f t="shared" ref="L170:R170" si="273">IF(L169="Matin",1,IF(L169="AM",1,0))</f>
        <v>0</v>
      </c>
      <c r="M170" s="60">
        <f t="shared" si="273"/>
        <v>0</v>
      </c>
      <c r="N170" s="60">
        <f t="shared" si="273"/>
        <v>0</v>
      </c>
      <c r="O170" s="60">
        <f t="shared" si="273"/>
        <v>0</v>
      </c>
      <c r="P170" s="60">
        <f t="shared" si="273"/>
        <v>0</v>
      </c>
      <c r="Q170" s="60">
        <f t="shared" si="273"/>
        <v>0</v>
      </c>
      <c r="R170" s="60">
        <f t="shared" si="273"/>
        <v>0</v>
      </c>
      <c r="S170" s="60">
        <f>SUM(L170:R170)</f>
        <v>0</v>
      </c>
      <c r="T170" s="60"/>
      <c r="U170" s="60">
        <f t="shared" ref="U170:AA170" si="274">IF(U169="Matin",1,IF(U169="AM",1,0))</f>
        <v>0</v>
      </c>
      <c r="V170" s="60">
        <f t="shared" si="274"/>
        <v>0</v>
      </c>
      <c r="W170" s="60">
        <f t="shared" si="274"/>
        <v>0</v>
      </c>
      <c r="X170" s="60">
        <f t="shared" si="274"/>
        <v>0</v>
      </c>
      <c r="Y170" s="60">
        <f t="shared" si="274"/>
        <v>0</v>
      </c>
      <c r="Z170" s="60">
        <f t="shared" si="274"/>
        <v>0</v>
      </c>
      <c r="AA170" s="60">
        <f t="shared" si="274"/>
        <v>0</v>
      </c>
      <c r="AB170" s="60">
        <f>SUM(U170:AA170)</f>
        <v>0</v>
      </c>
      <c r="AC170" s="60"/>
      <c r="AD170" s="60">
        <f t="shared" ref="AD170:AJ170" si="275">IF(AD169="Matin",1,IF(AD169="AM",1,0))</f>
        <v>0</v>
      </c>
      <c r="AE170" s="60">
        <f t="shared" si="275"/>
        <v>0</v>
      </c>
      <c r="AF170" s="60">
        <f t="shared" si="275"/>
        <v>0</v>
      </c>
      <c r="AG170" s="60">
        <f t="shared" si="275"/>
        <v>0</v>
      </c>
      <c r="AH170" s="60">
        <f t="shared" si="275"/>
        <v>0</v>
      </c>
      <c r="AI170" s="60">
        <f t="shared" si="275"/>
        <v>0</v>
      </c>
      <c r="AJ170" s="60">
        <f t="shared" si="275"/>
        <v>0</v>
      </c>
      <c r="AK170" s="60">
        <f>SUM(AD170:AJ170)</f>
        <v>0</v>
      </c>
      <c r="AL170" s="60"/>
      <c r="AM170" s="60">
        <f t="shared" ref="AM170:AS170" si="276">IF(AM169="Matin",1,IF(AM169="AM",1,0))</f>
        <v>0</v>
      </c>
      <c r="AN170" s="60">
        <f t="shared" si="276"/>
        <v>0</v>
      </c>
      <c r="AO170" s="60">
        <f t="shared" si="276"/>
        <v>0</v>
      </c>
      <c r="AP170" s="60">
        <f t="shared" si="276"/>
        <v>0</v>
      </c>
      <c r="AQ170" s="60">
        <f t="shared" si="276"/>
        <v>0</v>
      </c>
      <c r="AR170" s="60">
        <f t="shared" si="276"/>
        <v>0</v>
      </c>
      <c r="AS170" s="60">
        <f t="shared" si="276"/>
        <v>0</v>
      </c>
      <c r="AT170" s="60">
        <f>SUM(AM170:AS170)</f>
        <v>0</v>
      </c>
      <c r="AU170" s="60"/>
      <c r="AV170" s="60">
        <f t="shared" ref="AV170:AW170" si="277">IF(AV169="Matin",1,IF(AV169="AM",1,0))</f>
        <v>0</v>
      </c>
      <c r="AW170" s="60">
        <f t="shared" si="277"/>
        <v>0</v>
      </c>
      <c r="AX170" s="60">
        <f t="shared" ref="AX170:AX177" si="278">SUM(AV170:AW170)</f>
        <v>0</v>
      </c>
      <c r="AY170" s="60">
        <f>J170+S170+AB170+AK170+AT170+AX170</f>
        <v>0</v>
      </c>
    </row>
    <row r="171" spans="1:58" ht="15" customHeight="1" x14ac:dyDescent="0.25">
      <c r="A171" s="21" t="s">
        <v>4</v>
      </c>
      <c r="B171" s="81"/>
      <c r="C171" s="60">
        <f>IF(C172&gt;=1,1,0)</f>
        <v>0</v>
      </c>
      <c r="D171" s="60">
        <f>IF(D172&gt;=1,1,0)</f>
        <v>0</v>
      </c>
      <c r="E171" s="60">
        <f t="shared" ref="E171:I171" si="279">IF(E172&gt;=1,1,0)</f>
        <v>0</v>
      </c>
      <c r="F171" s="60">
        <f t="shared" si="279"/>
        <v>0</v>
      </c>
      <c r="G171" s="60">
        <f t="shared" si="279"/>
        <v>0</v>
      </c>
      <c r="H171" s="60">
        <f t="shared" si="279"/>
        <v>0</v>
      </c>
      <c r="I171" s="60">
        <f t="shared" si="279"/>
        <v>0</v>
      </c>
      <c r="J171" s="60">
        <f t="shared" ref="J171:J181" si="280">SUM(C171:I171)</f>
        <v>0</v>
      </c>
      <c r="K171" s="60"/>
      <c r="L171" s="60">
        <f>IF(L172&gt;=1,1,0)</f>
        <v>0</v>
      </c>
      <c r="M171" s="60">
        <f t="shared" ref="M171:R171" si="281">IF(M172&gt;=1,1,0)</f>
        <v>0</v>
      </c>
      <c r="N171" s="60">
        <f t="shared" si="281"/>
        <v>0</v>
      </c>
      <c r="O171" s="60">
        <f t="shared" si="281"/>
        <v>0</v>
      </c>
      <c r="P171" s="60">
        <f t="shared" si="281"/>
        <v>0</v>
      </c>
      <c r="Q171" s="60">
        <f t="shared" si="281"/>
        <v>0</v>
      </c>
      <c r="R171" s="60">
        <f t="shared" si="281"/>
        <v>0</v>
      </c>
      <c r="S171" s="60">
        <f t="shared" ref="S171:S181" si="282">SUM(L171:R171)</f>
        <v>0</v>
      </c>
      <c r="T171" s="60"/>
      <c r="U171" s="60">
        <f>IF(U172&gt;=1,1,0)</f>
        <v>0</v>
      </c>
      <c r="V171" s="60">
        <f t="shared" ref="V171:AA171" si="283">IF(V172&gt;=1,1,0)</f>
        <v>0</v>
      </c>
      <c r="W171" s="60">
        <f t="shared" si="283"/>
        <v>0</v>
      </c>
      <c r="X171" s="60">
        <f t="shared" si="283"/>
        <v>0</v>
      </c>
      <c r="Y171" s="60">
        <f t="shared" si="283"/>
        <v>0</v>
      </c>
      <c r="Z171" s="60">
        <f t="shared" si="283"/>
        <v>0</v>
      </c>
      <c r="AA171" s="60">
        <f t="shared" si="283"/>
        <v>0</v>
      </c>
      <c r="AB171" s="60">
        <f t="shared" ref="AB171:AB181" si="284">SUM(U171:AA171)</f>
        <v>0</v>
      </c>
      <c r="AC171" s="60"/>
      <c r="AD171" s="60">
        <f>IF(AD172&gt;=1,1,0)</f>
        <v>0</v>
      </c>
      <c r="AE171" s="60">
        <f t="shared" ref="AE171:AJ171" si="285">IF(AE172&gt;=1,1,0)</f>
        <v>0</v>
      </c>
      <c r="AF171" s="60">
        <f t="shared" si="285"/>
        <v>0</v>
      </c>
      <c r="AG171" s="60">
        <f t="shared" si="285"/>
        <v>0</v>
      </c>
      <c r="AH171" s="60">
        <f t="shared" si="285"/>
        <v>0</v>
      </c>
      <c r="AI171" s="60">
        <f t="shared" si="285"/>
        <v>0</v>
      </c>
      <c r="AJ171" s="60">
        <f t="shared" si="285"/>
        <v>0</v>
      </c>
      <c r="AK171" s="60">
        <f t="shared" ref="AK171:AK181" si="286">SUM(AD171:AJ171)</f>
        <v>0</v>
      </c>
      <c r="AL171" s="60"/>
      <c r="AM171" s="60">
        <f>IF(AM172&gt;=1,1,0)</f>
        <v>0</v>
      </c>
      <c r="AN171" s="60">
        <f t="shared" ref="AN171:AS171" si="287">IF(AN172&gt;=1,1,0)</f>
        <v>0</v>
      </c>
      <c r="AO171" s="60">
        <f t="shared" si="287"/>
        <v>0</v>
      </c>
      <c r="AP171" s="60">
        <f t="shared" si="287"/>
        <v>0</v>
      </c>
      <c r="AQ171" s="60">
        <f t="shared" si="287"/>
        <v>0</v>
      </c>
      <c r="AR171" s="60">
        <f t="shared" si="287"/>
        <v>0</v>
      </c>
      <c r="AS171" s="60">
        <f t="shared" si="287"/>
        <v>0</v>
      </c>
      <c r="AT171" s="60">
        <f t="shared" ref="AT171:AT181" si="288">SUM(AM171:AS171)</f>
        <v>0</v>
      </c>
      <c r="AU171" s="60"/>
      <c r="AV171" s="60">
        <f>IF(AV172&gt;=1,1,0)</f>
        <v>0</v>
      </c>
      <c r="AW171" s="60">
        <f t="shared" ref="AW171" si="289">IF(AW172&gt;=1,1,0)</f>
        <v>0</v>
      </c>
      <c r="AX171" s="60">
        <f t="shared" si="278"/>
        <v>0</v>
      </c>
      <c r="AY171" s="60">
        <f t="shared" ref="AY171:AY180" si="290">J171+S171+AB171+AK171+AT171+AX171</f>
        <v>0</v>
      </c>
    </row>
    <row r="172" spans="1:58" ht="15" customHeight="1" x14ac:dyDescent="0.25">
      <c r="A172" s="21" t="s">
        <v>3</v>
      </c>
      <c r="B172" s="81"/>
      <c r="C172" s="31"/>
      <c r="D172" s="31"/>
      <c r="E172" s="31"/>
      <c r="F172" s="31"/>
      <c r="G172" s="31"/>
      <c r="H172" s="31"/>
      <c r="I172" s="31"/>
      <c r="J172" s="60">
        <f t="shared" si="280"/>
        <v>0</v>
      </c>
      <c r="K172" s="60"/>
      <c r="L172" s="31"/>
      <c r="M172" s="31"/>
      <c r="N172" s="31"/>
      <c r="O172" s="31"/>
      <c r="P172" s="31"/>
      <c r="Q172" s="31"/>
      <c r="R172" s="31"/>
      <c r="S172" s="60">
        <f t="shared" si="282"/>
        <v>0</v>
      </c>
      <c r="T172" s="60"/>
      <c r="U172" s="31"/>
      <c r="V172" s="31"/>
      <c r="W172" s="31"/>
      <c r="X172" s="31"/>
      <c r="Y172" s="31"/>
      <c r="Z172" s="31"/>
      <c r="AA172" s="31"/>
      <c r="AB172" s="60">
        <f t="shared" si="284"/>
        <v>0</v>
      </c>
      <c r="AC172" s="60"/>
      <c r="AD172" s="31"/>
      <c r="AE172" s="31"/>
      <c r="AF172" s="31"/>
      <c r="AG172" s="31"/>
      <c r="AH172" s="31"/>
      <c r="AI172" s="31"/>
      <c r="AJ172" s="31"/>
      <c r="AK172" s="60">
        <f t="shared" si="286"/>
        <v>0</v>
      </c>
      <c r="AL172" s="60"/>
      <c r="AM172" s="31"/>
      <c r="AN172" s="31"/>
      <c r="AO172" s="31"/>
      <c r="AP172" s="31"/>
      <c r="AQ172" s="31"/>
      <c r="AR172" s="31"/>
      <c r="AS172" s="31"/>
      <c r="AT172" s="60">
        <f t="shared" si="288"/>
        <v>0</v>
      </c>
      <c r="AU172" s="60"/>
      <c r="AV172" s="31"/>
      <c r="AW172" s="31"/>
      <c r="AX172" s="60">
        <f t="shared" si="278"/>
        <v>0</v>
      </c>
      <c r="AY172" s="60">
        <f t="shared" si="290"/>
        <v>0</v>
      </c>
    </row>
    <row r="173" spans="1:58" ht="15" customHeight="1" x14ac:dyDescent="0.25">
      <c r="A173" s="36" t="s">
        <v>20</v>
      </c>
      <c r="B173" s="82"/>
      <c r="C173" s="66">
        <f>IF(C167&lt;&gt;"Dim",IF(C172&gt;32,MIN(C172,35)-32,0),0)</f>
        <v>0</v>
      </c>
      <c r="D173" s="66">
        <f>IF(D167&lt;&gt;"Dim",IF(SUM($C172:D172)&gt;32,MIN(SUM($C172:D172),35)-32-SUM($C173:C173),0),0)</f>
        <v>0</v>
      </c>
      <c r="E173" s="66">
        <f>IF(E167&lt;&gt;"Dim",IF(SUM($C172:E172)&gt;32,MIN(SUM($C172:E172),35)-32-SUM($C173:D173),0),0)</f>
        <v>0</v>
      </c>
      <c r="F173" s="66">
        <f>IF(F167&lt;&gt;"Dim",IF(SUM($C172:F172)&gt;32,MIN(SUM($C172:F172),35)-32-SUM($C173:E173),0),0)</f>
        <v>0</v>
      </c>
      <c r="G173" s="66">
        <f>IF(G167&lt;&gt;"Dim",IF(SUM($C172:G172)&gt;32,MIN(SUM($C172:G172),35)-32-SUM($C173:F173),0),0)</f>
        <v>0</v>
      </c>
      <c r="H173" s="66">
        <f>IF(H167&lt;&gt;"Dim",IF(SUM($C172:H172)&gt;32,MIN(SUM($C172:H172),35)-32-SUM($C173:G173),0),0)</f>
        <v>0</v>
      </c>
      <c r="I173" s="66">
        <f>IF(I167&lt;&gt;"Dim",IF(SUM($C172:I172)&gt;32,MIN(SUM($C172:I172),35)-32-SUM($C173:H173),0),0)</f>
        <v>0</v>
      </c>
      <c r="J173" s="60">
        <f t="shared" si="280"/>
        <v>0</v>
      </c>
      <c r="K173" s="60"/>
      <c r="L173" s="66">
        <f>IF(L167&lt;&gt;"Dim",IF(L172&gt;32,MIN(L172,35)-32,0),0)</f>
        <v>0</v>
      </c>
      <c r="M173" s="66">
        <f>IF(M167&lt;&gt;"Dim",IF(SUM($L172:M172)&gt;32,MIN(SUM($L172:M172),35)-32-SUM($L173:L173),0),0)</f>
        <v>0</v>
      </c>
      <c r="N173" s="66">
        <f>IF(N167&lt;&gt;"Dim",IF(SUM($L172:N172)&gt;32,MIN(SUM($L172:N172),35)-32-SUM($L173:M173),0),0)</f>
        <v>0</v>
      </c>
      <c r="O173" s="66">
        <f>IF(O167&lt;&gt;"Dim",IF(SUM($L172:O172)&gt;32,MIN(SUM($L172:O172),35)-32-SUM($L173:N173),0),0)</f>
        <v>0</v>
      </c>
      <c r="P173" s="66">
        <f>IF(P167&lt;&gt;"Dim",IF(SUM($L172:P172)&gt;32,MIN(SUM($L172:P172),35)-32-SUM($L173:O173),0),0)</f>
        <v>0</v>
      </c>
      <c r="Q173" s="66">
        <f>IF(Q167&lt;&gt;"Dim",IF(SUM($L172:Q172)&gt;32,MIN(SUM($L172:Q172),35)-32-SUM($L173:P173),0),0)</f>
        <v>0</v>
      </c>
      <c r="R173" s="66">
        <f>IF(R167&lt;&gt;"Dim",IF(SUM($L172:R172)&gt;32,MIN(SUM($L172:R172),35)-32-SUM($L173:Q173),0),0)</f>
        <v>0</v>
      </c>
      <c r="S173" s="60">
        <f t="shared" si="282"/>
        <v>0</v>
      </c>
      <c r="T173" s="60"/>
      <c r="U173" s="66">
        <f>IF(U167&lt;&gt;"Dim",IF(U172&gt;32,MIN(U172,35)-32,0),0)</f>
        <v>0</v>
      </c>
      <c r="V173" s="66">
        <f>IF(V167&lt;&gt;"Dim",IF(SUM($U172:V172)&gt;32,MIN(SUM($U172:V172),35)-32-SUM($U173:U173),0),0)</f>
        <v>0</v>
      </c>
      <c r="W173" s="66">
        <f>IF(W167&lt;&gt;"Dim",IF(SUM($U172:W172)&gt;32,MIN(SUM($U172:W172),35)-32-SUM($U173:V173),0),0)</f>
        <v>0</v>
      </c>
      <c r="X173" s="66">
        <f>IF(X167&lt;&gt;"Dim",IF(SUM($U172:X172)&gt;32,MIN(SUM($U172:X172),35)-32-SUM($U173:W173),0),0)</f>
        <v>0</v>
      </c>
      <c r="Y173" s="66">
        <f>IF(Y167&lt;&gt;"Dim",IF(SUM($U172:Y172)&gt;32,MIN(SUM($U172:Y172),35)-32-SUM($U173:X173),0),0)</f>
        <v>0</v>
      </c>
      <c r="Z173" s="66">
        <f>IF(Z167&lt;&gt;"Dim",IF(SUM($U172:Z172)&gt;32,MIN(SUM($U172:Z172),35)-32-SUM($U173:Y173),0),0)</f>
        <v>0</v>
      </c>
      <c r="AA173" s="66">
        <f>IF(AA167&lt;&gt;"Dim",IF(SUM($U172:AA172)&gt;32,MIN(SUM($U172:AA172),35)-32-SUM($U173:Z173),0),0)</f>
        <v>0</v>
      </c>
      <c r="AB173" s="60">
        <f t="shared" si="284"/>
        <v>0</v>
      </c>
      <c r="AC173" s="60"/>
      <c r="AD173" s="66">
        <f>IF(AD167&lt;&gt;"Dim",IF(AD172&gt;32,MIN(AD172,35)-32,0),0)</f>
        <v>0</v>
      </c>
      <c r="AE173" s="66">
        <f>IF(AE167&lt;&gt;"Dim",IF(SUM($AD172:AE172)&gt;32,MIN(SUM($AD172:AE172),35)-32-SUM($AD173:AD173),0),0)</f>
        <v>0</v>
      </c>
      <c r="AF173" s="66">
        <f>IF(AF167&lt;&gt;"Dim",IF(SUM($AD172:AF172)&gt;32,MIN(SUM($AD172:AF172),35)-32-SUM($AD173:AE173),0),0)</f>
        <v>0</v>
      </c>
      <c r="AG173" s="66">
        <f>IF(AG167&lt;&gt;"Dim",IF(SUM($AD172:AG172)&gt;32,MIN(SUM($AD172:AG172),35)-32-SUM($AD173:AF173),0),0)</f>
        <v>0</v>
      </c>
      <c r="AH173" s="66">
        <f>IF(AH167&lt;&gt;"Dim",IF(SUM($AD172:AH172)&gt;32,MIN(SUM($AD172:AH172),35)-32-SUM($AD173:AG173),0),0)</f>
        <v>0</v>
      </c>
      <c r="AI173" s="66">
        <f>IF(AI167&lt;&gt;"Dim",IF(SUM($AD172:AI172)&gt;32,MIN(SUM($AD172:AI172),35)-32-SUM($AD173:AH173),0),0)</f>
        <v>0</v>
      </c>
      <c r="AJ173" s="66">
        <f>IF(AJ167&lt;&gt;"Dim",IF(SUM($AD172:AJ172)&gt;32,MIN(SUM($AD172:AJ172),35)-32-SUM($AD173:AI173),0),0)</f>
        <v>0</v>
      </c>
      <c r="AK173" s="60">
        <f t="shared" si="286"/>
        <v>0</v>
      </c>
      <c r="AL173" s="60"/>
      <c r="AM173" s="66">
        <f>IF(AM167&lt;&gt;"Dim",IF(AM172&gt;32,MIN(AM172,35)-32,0),0)</f>
        <v>0</v>
      </c>
      <c r="AN173" s="66">
        <f>IF(AN167&lt;&gt;"Dim",IF(SUM($AM172:AN172)&gt;32,MIN(SUM($AM172:AN172),35)-32-SUM($AM173:AM173),0),0)</f>
        <v>0</v>
      </c>
      <c r="AO173" s="66">
        <f>IF(AO167&lt;&gt;"Dim",IF(SUM($AM172:AO172)&gt;32,MIN(SUM($AM172:AO172),35)-32-SUM($AM173:AN173),0),0)</f>
        <v>0</v>
      </c>
      <c r="AP173" s="66">
        <f>IF(AP167&lt;&gt;"Dim",IF(SUM($AM172:AP172)&gt;32,MIN(SUM($AM172:AP172),35)-32-SUM($AM173:AO173),0),0)</f>
        <v>0</v>
      </c>
      <c r="AQ173" s="66">
        <f>IF(AQ167&lt;&gt;"Dim",IF(SUM($AM172:AQ172)&gt;32,MIN(SUM($AM172:AQ172),35)-32-SUM($AM173:AP173),0),0)</f>
        <v>0</v>
      </c>
      <c r="AR173" s="66">
        <f>IF(AR167&lt;&gt;"Dim",IF(SUM($AM172:AR172)&gt;32,MIN(SUM($AM172:AR172),35)-32-SUM($AM173:AQ173),0),0)</f>
        <v>0</v>
      </c>
      <c r="AS173" s="66">
        <f>IF(AS167&lt;&gt;"Dim",IF(SUM($AM172:AS172)&gt;32,MIN(SUM($AM172:AS172),35)-32-SUM($AM173:AR173),0),0)</f>
        <v>0</v>
      </c>
      <c r="AT173" s="60">
        <f t="shared" si="288"/>
        <v>0</v>
      </c>
      <c r="AU173" s="60"/>
      <c r="AV173" s="66">
        <f>IF(AV167&lt;&gt;"Dim",IF(AV172&gt;32,MIN(AV172,35)-32,0),0)</f>
        <v>0</v>
      </c>
      <c r="AW173" s="66">
        <f>IF(AW167&lt;&gt;"Dim",IF(SUM($AV172:AW172)&gt;32,MIN(SUM($AV172:AW172),35)-32-SUM($AV173:AV173),0),0)</f>
        <v>0</v>
      </c>
      <c r="AX173" s="60">
        <f t="shared" si="278"/>
        <v>0</v>
      </c>
      <c r="AY173" s="60">
        <f t="shared" si="290"/>
        <v>0</v>
      </c>
    </row>
    <row r="174" spans="1:58" ht="15" customHeight="1" x14ac:dyDescent="0.25">
      <c r="A174" s="21" t="s">
        <v>6</v>
      </c>
      <c r="B174" s="81"/>
      <c r="C174" s="66">
        <f>IF(C167&lt;&gt;"Dim",IF(C172&gt;35,(MIN(C172,43)-35),0),0)</f>
        <v>0</v>
      </c>
      <c r="D174" s="66">
        <f>IF(D167&lt;&gt;"Dim",IF(SUM($C172:D172)&gt;35,(MIN(SUM($C172:D172),43)-35-SUM($C174:C174)),0),0)</f>
        <v>0</v>
      </c>
      <c r="E174" s="66">
        <f>IF(E167&lt;&gt;"Dim",IF(SUM($C172:E172)&gt;35,(MIN(SUM($C172:E172),43)-35-SUM($C174:D174)),0),0)</f>
        <v>0</v>
      </c>
      <c r="F174" s="66">
        <f>IF(F167&lt;&gt;"Dim",IF(SUM($C172:F172)&gt;35,(MIN(SUM($C172:F172),43)-35-SUM($C174:E174)),0),0)</f>
        <v>0</v>
      </c>
      <c r="G174" s="66">
        <f>IF(G167&lt;&gt;"Dim",IF(SUM($C172:G172)&gt;35,(MIN(SUM($C172:G172),43)-35-SUM($C174:F174)),0),0)</f>
        <v>0</v>
      </c>
      <c r="H174" s="66">
        <f>IF(H167&lt;&gt;"Dim",IF(SUM($C172:H172)&gt;35,(MIN(SUM($C172:H172),43)-35-SUM($C174:G174)),0),0)</f>
        <v>0</v>
      </c>
      <c r="I174" s="66">
        <f>IF(I167&lt;&gt;"Dim",IF(SUM($C172:I172)&gt;35,(MIN(SUM($C172:I172),43)-35-SUM($C174:H174)),0),0)</f>
        <v>0</v>
      </c>
      <c r="J174" s="60">
        <f t="shared" si="280"/>
        <v>0</v>
      </c>
      <c r="K174" s="60"/>
      <c r="L174" s="66">
        <f>IF(L167&lt;&gt;"Dim",IF(L172&gt;35,(MIN(L172,43)-35),0),0)</f>
        <v>0</v>
      </c>
      <c r="M174" s="66">
        <f>IF(M167&lt;&gt;"Dim",IF(SUM($L172:M172)&gt;35,(MIN(SUM($L172:M172),43)-35-SUM($L174:L174)),0),0)</f>
        <v>0</v>
      </c>
      <c r="N174" s="66">
        <f>IF(N167&lt;&gt;"Dim",IF(SUM($L172:N172)&gt;35,(MIN(SUM($L172:N172),43)-35-SUM($L174:M174)),0),0)</f>
        <v>0</v>
      </c>
      <c r="O174" s="66">
        <f>IF(O167&lt;&gt;"Dim",IF(SUM($L172:O172)&gt;35,(MIN(SUM($L172:O172),43)-35-SUM($L174:N174)),0),0)</f>
        <v>0</v>
      </c>
      <c r="P174" s="66">
        <f>IF(P167&lt;&gt;"Dim",IF(SUM($L172:P172)&gt;35,(MIN(SUM($L172:P172),43)-35-SUM($L174:O174)),0),0)</f>
        <v>0</v>
      </c>
      <c r="Q174" s="66">
        <f>IF(Q167&lt;&gt;"Dim",IF(SUM($L172:Q172)&gt;35,(MIN(SUM($L172:Q172),43)-35-SUM($L174:P174)),0),0)</f>
        <v>0</v>
      </c>
      <c r="R174" s="66">
        <f>IF(R167&lt;&gt;"Dim",IF(SUM($L172:R172)&gt;35,(MIN(SUM($L172:R172),43)-35-SUM($L174:Q174)),0),0)</f>
        <v>0</v>
      </c>
      <c r="S174" s="60">
        <f t="shared" si="282"/>
        <v>0</v>
      </c>
      <c r="T174" s="60"/>
      <c r="U174" s="66">
        <f>IF(U167&lt;&gt;"Dim",IF(U172&gt;35,(MIN(U172,43)-35),0),0)</f>
        <v>0</v>
      </c>
      <c r="V174" s="66">
        <f>IF(V167&lt;&gt;"Dim",IF(SUM($U172:V172)&gt;35,(MIN(SUM($U172:V172),43)-35-SUM($U174:U174)),0),0)</f>
        <v>0</v>
      </c>
      <c r="W174" s="66">
        <f>IF(W167&lt;&gt;"Dim",IF(SUM($U172:W172)&gt;35,(MIN(SUM($U172:W172),43)-35-SUM($U174:V174)),0),0)</f>
        <v>0</v>
      </c>
      <c r="X174" s="66">
        <f>IF(X167&lt;&gt;"Dim",IF(SUM($U172:X172)&gt;35,(MIN(SUM($U172:X172),43)-35-SUM($U174:W174)),0),0)</f>
        <v>0</v>
      </c>
      <c r="Y174" s="66">
        <f>IF(Y167&lt;&gt;"Dim",IF(SUM($U172:Y172)&gt;35,(MIN(SUM($U172:Y172),43)-35-SUM($U174:X174)),0),0)</f>
        <v>0</v>
      </c>
      <c r="Z174" s="66">
        <f>IF(Z167&lt;&gt;"Dim",IF(SUM($U172:Z172)&gt;35,(MIN(SUM($U172:Z172),43)-35-SUM($U174:Y174)),0),0)</f>
        <v>0</v>
      </c>
      <c r="AA174" s="66">
        <f>IF(AA167&lt;&gt;"Dim",IF(SUM($U172:AA172)&gt;35,(MIN(SUM($U172:AA172),43)-35-SUM($U174:Z174)),0),0)</f>
        <v>0</v>
      </c>
      <c r="AB174" s="60">
        <f t="shared" si="284"/>
        <v>0</v>
      </c>
      <c r="AC174" s="60"/>
      <c r="AD174" s="66">
        <f>IF(AD167&lt;&gt;"Dim",IF(AD172&gt;35,(MIN(AD172,43)-35),0),0)</f>
        <v>0</v>
      </c>
      <c r="AE174" s="66">
        <f>IF(AE167&lt;&gt;"Dim",IF(SUM($AD172:AE172)&gt;35,(MIN(SUM($AD172:AE172),43)-35-SUM($AD174:AD174)),0),0)</f>
        <v>0</v>
      </c>
      <c r="AF174" s="66">
        <f>IF(AF167&lt;&gt;"Dim",IF(SUM($AD172:AF172)&gt;35,(MIN(SUM($AD172:AF172),43)-35-SUM($AD174:AE174)),0),0)</f>
        <v>0</v>
      </c>
      <c r="AG174" s="66">
        <f>IF(AG167&lt;&gt;"Dim",IF(SUM($AD172:AG172)&gt;35,(MIN(SUM($AD172:AG172),43)-35-SUM($AD174:AF174)),0),0)</f>
        <v>0</v>
      </c>
      <c r="AH174" s="66">
        <f>IF(AH167&lt;&gt;"Dim",IF(SUM($AD172:AH172)&gt;35,(MIN(SUM($AD172:AH172),43)-35-SUM($AD174:AG174)),0),0)</f>
        <v>0</v>
      </c>
      <c r="AI174" s="66">
        <f>IF(AI167&lt;&gt;"Dim",IF(SUM($AD172:AI172)&gt;35,(MIN(SUM($AD172:AI172),43)-35-SUM($AD174:AH174)),0),0)</f>
        <v>0</v>
      </c>
      <c r="AJ174" s="66">
        <f>IF(AJ167&lt;&gt;"Dim",IF(SUM($AD172:AJ172)&gt;35,(MIN(SUM($AD172:AJ172),43)-35-SUM($AD174:AI174)),0),0)</f>
        <v>0</v>
      </c>
      <c r="AK174" s="60">
        <f t="shared" si="286"/>
        <v>0</v>
      </c>
      <c r="AL174" s="60"/>
      <c r="AM174" s="66">
        <f>IF(AM167&lt;&gt;"Dim",IF(AM172&gt;35,(MIN(AM172,43)-35),0),0)</f>
        <v>0</v>
      </c>
      <c r="AN174" s="66">
        <f>IF(AN167&lt;&gt;"Dim",IF(SUM($AM172:AN172)&gt;35,(MIN(SUM($AM172:AN172),43)-35-SUM($AM174:AM174)),0),0)</f>
        <v>0</v>
      </c>
      <c r="AO174" s="66">
        <f>IF(AO167&lt;&gt;"Dim",IF(SUM($AM172:AO172)&gt;35,(MIN(SUM($AM172:AO172),43)-35-SUM($AM174:AN174)),0),0)</f>
        <v>0</v>
      </c>
      <c r="AP174" s="66">
        <f>IF(AP167&lt;&gt;"Dim",IF(SUM($AM172:AP172)&gt;35,(MIN(SUM($AM172:AP172),43)-35-SUM($AM174:AO174)),0),0)</f>
        <v>0</v>
      </c>
      <c r="AQ174" s="66">
        <f>IF(AQ167&lt;&gt;"Dim",IF(SUM($AM172:AQ172)&gt;35,(MIN(SUM($AM172:AQ172),43)-35-SUM($AM174:AP174)),0),0)</f>
        <v>0</v>
      </c>
      <c r="AR174" s="66">
        <f>IF(AR167&lt;&gt;"Dim",IF(SUM($AM172:AR172)&gt;35,(MIN(SUM($AM172:AR172),43)-35-SUM($AM174:AQ174)),0),0)</f>
        <v>0</v>
      </c>
      <c r="AS174" s="66">
        <f>IF(AS167&lt;&gt;"Dim",IF(SUM($AM172:AS172)&gt;35,(MIN(SUM($AM172:AS172),43)-35-SUM($AM174:AR174)),0),0)</f>
        <v>0</v>
      </c>
      <c r="AT174" s="60">
        <f t="shared" si="288"/>
        <v>0</v>
      </c>
      <c r="AU174" s="60"/>
      <c r="AV174" s="66">
        <f>IF(AV167&lt;&gt;"Dim",IF(AV172&gt;35,(MIN(AV172,43)-35),0),0)</f>
        <v>0</v>
      </c>
      <c r="AW174" s="66">
        <f>IF(AW167&lt;&gt;"Dim",IF(SUM($AV172:AW172)&gt;35,(MIN(SUM($AV172:AW172),43)-35-SUM($AV174:AV174)),0),0)</f>
        <v>0</v>
      </c>
      <c r="AX174" s="60">
        <f t="shared" si="278"/>
        <v>0</v>
      </c>
      <c r="AY174" s="60">
        <f t="shared" si="290"/>
        <v>0</v>
      </c>
    </row>
    <row r="175" spans="1:58" ht="15" customHeight="1" x14ac:dyDescent="0.25">
      <c r="A175" s="21" t="s">
        <v>5</v>
      </c>
      <c r="B175" s="81"/>
      <c r="C175" s="66">
        <f>IF(C167&lt;&gt;"Dim",IF(C172&gt;43,(MIN(C172,48)-43),0),0)</f>
        <v>0</v>
      </c>
      <c r="D175" s="66">
        <f>IF(D167&lt;&gt;"Dim",IF(SUM($C172:D172)&gt;43,(MIN(SUM($C172:D172),48)-43-SUM($C175:C175)),0),0)</f>
        <v>0</v>
      </c>
      <c r="E175" s="66">
        <f>IF(E167&lt;&gt;"Dim",IF(SUM($C172:E172)&gt;43,(MIN(SUM($C172:E172),48)-43-SUM($C175:D175)),0),0)</f>
        <v>0</v>
      </c>
      <c r="F175" s="66">
        <f>IF(F167&lt;&gt;"Dim",IF(SUM($C172:F172)&gt;43,(MIN(SUM($C172:F172),48)-43-SUM($C175:E175)),0),0)</f>
        <v>0</v>
      </c>
      <c r="G175" s="66">
        <f>IF(G167&lt;&gt;"Dim",IF(SUM($C172:G172)&gt;43,(MIN(SUM($C172:G172),48)-43-SUM($C175:F175)),0),0)</f>
        <v>0</v>
      </c>
      <c r="H175" s="66">
        <f>IF(H167&lt;&gt;"Dim",IF(SUM($C172:H172)&gt;43,(MIN(SUM($C172:H172),48)-43-SUM($C175:G175)),0),0)</f>
        <v>0</v>
      </c>
      <c r="I175" s="66">
        <f>IF(I167&lt;&gt;"Dim",IF(SUM($C172:I172)&gt;43,(MIN(SUM($C172:I172),48)-43-SUM($C175:H175)),0),0)</f>
        <v>0</v>
      </c>
      <c r="J175" s="60">
        <f t="shared" si="280"/>
        <v>0</v>
      </c>
      <c r="K175" s="60"/>
      <c r="L175" s="66">
        <f>IF(L167&lt;&gt;"Dim",IF(L172&gt;43,(MIN(L172,48)-43),0),0)</f>
        <v>0</v>
      </c>
      <c r="M175" s="66">
        <f>IF(M167&lt;&gt;"Dim",IF(SUM($L172:M172)&gt;43,(MIN(SUM($L172:M172),48)-43-SUM($L175:L175)),0),0)</f>
        <v>0</v>
      </c>
      <c r="N175" s="66">
        <f>IF(N167&lt;&gt;"Dim",IF(SUM($L172:N172)&gt;43,(MIN(SUM($L172:N172),48)-43-SUM($L175:M175)),0),0)</f>
        <v>0</v>
      </c>
      <c r="O175" s="66">
        <f>IF(O167&lt;&gt;"Dim",IF(SUM($L172:O172)&gt;43,(MIN(SUM($L172:O172),48)-43-SUM($L175:N175)),0),0)</f>
        <v>0</v>
      </c>
      <c r="P175" s="66">
        <f>IF(P167&lt;&gt;"Dim",IF(SUM($L172:P172)&gt;43,(MIN(SUM($L172:P172),48)-43-SUM($L175:O175)),0),0)</f>
        <v>0</v>
      </c>
      <c r="Q175" s="66">
        <f>IF(Q167&lt;&gt;"Dim",IF(SUM($L172:Q172)&gt;43,(MIN(SUM($L172:Q172),48)-43-SUM($L175:P175)),0),0)</f>
        <v>0</v>
      </c>
      <c r="R175" s="66">
        <f>IF(R167&lt;&gt;"Dim",IF(SUM($L172:R172)&gt;43,(MIN(SUM($L172:R172),48)-43-SUM($L175:Q175)),0),0)</f>
        <v>0</v>
      </c>
      <c r="S175" s="60">
        <f t="shared" si="282"/>
        <v>0</v>
      </c>
      <c r="T175" s="60"/>
      <c r="U175" s="66">
        <f>IF(U167&lt;&gt;"Dim",IF(U172&gt;43,(MIN(U172,48)-43),0),0)</f>
        <v>0</v>
      </c>
      <c r="V175" s="66">
        <f>IF(V167&lt;&gt;"Dim",IF(SUM($U172:V172)&gt;43,(MIN(SUM($U172:V172),48)-43-SUM($U175:U175)),0),0)</f>
        <v>0</v>
      </c>
      <c r="W175" s="66">
        <f>IF(W167&lt;&gt;"Dim",IF(SUM($U172:W172)&gt;43,(MIN(SUM($U172:W172),48)-43-SUM($U175:V175)),0),0)</f>
        <v>0</v>
      </c>
      <c r="X175" s="66">
        <f>IF(X167&lt;&gt;"Dim",IF(SUM($U172:X172)&gt;43,(MIN(SUM($U172:X172),48)-43-SUM($U175:W175)),0),0)</f>
        <v>0</v>
      </c>
      <c r="Y175" s="66">
        <f>IF(Y167&lt;&gt;"Dim",IF(SUM($U172:Y172)&gt;43,(MIN(SUM($U172:Y172),48)-43-SUM($U175:X175)),0),0)</f>
        <v>0</v>
      </c>
      <c r="Z175" s="66">
        <f>IF(Z167&lt;&gt;"Dim",IF(SUM($U172:Z172)&gt;43,(MIN(SUM($U172:Z172),48)-43-SUM($U175:Y175)),0),0)</f>
        <v>0</v>
      </c>
      <c r="AA175" s="66">
        <f>IF(AA167&lt;&gt;"Dim",IF(SUM($U172:AA172)&gt;43,(MIN(SUM($U172:AA172),48)-43-SUM($U175:Z175)),0),0)</f>
        <v>0</v>
      </c>
      <c r="AB175" s="60">
        <f t="shared" si="284"/>
        <v>0</v>
      </c>
      <c r="AC175" s="60"/>
      <c r="AD175" s="66">
        <f>IF(AD167&lt;&gt;"Dim",IF(AD172&gt;43,(MIN(AD172,48)-43),0),0)</f>
        <v>0</v>
      </c>
      <c r="AE175" s="66">
        <f>IF(AE167&lt;&gt;"Dim",IF(SUM($AD172:AE172)&gt;43,(MIN(SUM($AD172:AE172),48)-43-SUM($AD175:AD175)),0),0)</f>
        <v>0</v>
      </c>
      <c r="AF175" s="66">
        <f>IF(AF167&lt;&gt;"Dim",IF(SUM($AD172:AF172)&gt;43,(MIN(SUM($AD172:AF172),48)-43-SUM($AD175:AE175)),0),0)</f>
        <v>0</v>
      </c>
      <c r="AG175" s="66">
        <f>IF(AG167&lt;&gt;"Dim",IF(SUM($AD172:AG172)&gt;43,(MIN(SUM($AD172:AG172),48)-43-SUM($AD175:AF175)),0),0)</f>
        <v>0</v>
      </c>
      <c r="AH175" s="66">
        <f>IF(AH167&lt;&gt;"Dim",IF(SUM($AD172:AH172)&gt;43,(MIN(SUM($AD172:AH172),48)-43-SUM($AD175:AG175)),0),0)</f>
        <v>0</v>
      </c>
      <c r="AI175" s="66">
        <f>IF(AI167&lt;&gt;"Dim",IF(SUM($AD172:AI172)&gt;43,(MIN(SUM($AD172:AI172),48)-43-SUM($AD175:AH175)),0),0)</f>
        <v>0</v>
      </c>
      <c r="AJ175" s="66">
        <f>IF(AJ167&lt;&gt;"Dim",IF(SUM($AD172:AJ172)&gt;43,(MIN(SUM($AD172:AJ172),48)-43-SUM($AD175:AI175)),0),0)</f>
        <v>0</v>
      </c>
      <c r="AK175" s="60">
        <f t="shared" si="286"/>
        <v>0</v>
      </c>
      <c r="AL175" s="60"/>
      <c r="AM175" s="66">
        <f>IF(AM167&lt;&gt;"Dim",IF(AM172&gt;43,(MIN(AM172,48)-43),0),0)</f>
        <v>0</v>
      </c>
      <c r="AN175" s="66">
        <f>IF(AN167&lt;&gt;"Dim",IF(SUM($AM172:AN172)&gt;43,(MIN(SUM($AM172:AN172),48)-43-SUM($AM175:AM175)),0),0)</f>
        <v>0</v>
      </c>
      <c r="AO175" s="66">
        <f>IF(AO167&lt;&gt;"Dim",IF(SUM($AM172:AO172)&gt;43,(MIN(SUM($AM172:AO172),48)-43-SUM($AM175:AN175)),0),0)</f>
        <v>0</v>
      </c>
      <c r="AP175" s="66">
        <f>IF(AP167&lt;&gt;"Dim",IF(SUM($AM172:AP172)&gt;43,(MIN(SUM($AM172:AP172),48)-43-SUM($AM175:AO175)),0),0)</f>
        <v>0</v>
      </c>
      <c r="AQ175" s="66">
        <f>IF(AQ167&lt;&gt;"Dim",IF(SUM($AM172:AQ172)&gt;43,(MIN(SUM($AM172:AQ172),48)-43-SUM($AM175:AP175)),0),0)</f>
        <v>0</v>
      </c>
      <c r="AR175" s="66">
        <f>IF(AR167&lt;&gt;"Dim",IF(SUM($AM172:AR172)&gt;43,(MIN(SUM($AM172:AR172),48)-43-SUM($AM175:AQ175)),0),0)</f>
        <v>0</v>
      </c>
      <c r="AS175" s="66">
        <f>IF(AS167&lt;&gt;"Dim",IF(SUM($AM172:AS172)&gt;43,(MIN(SUM($AM172:AS172),48)-43-SUM($AM175:AR175)),0),0)</f>
        <v>0</v>
      </c>
      <c r="AT175" s="60">
        <f t="shared" si="288"/>
        <v>0</v>
      </c>
      <c r="AU175" s="60"/>
      <c r="AV175" s="66">
        <f>IF(AV167&lt;&gt;"Dim",IF(AV172&gt;43,(MIN(AV172,48)-43),0),0)</f>
        <v>0</v>
      </c>
      <c r="AW175" s="66">
        <f>IF(AW167&lt;&gt;"Dim",IF(SUM($AV172:AW172)&gt;43,(MIN(SUM($AV172:AW172),48)-43-SUM($AV175:AV175)),0),0)</f>
        <v>0</v>
      </c>
      <c r="AX175" s="60">
        <f t="shared" si="278"/>
        <v>0</v>
      </c>
      <c r="AY175" s="60">
        <f t="shared" si="290"/>
        <v>0</v>
      </c>
    </row>
    <row r="176" spans="1:58" ht="15" customHeight="1" x14ac:dyDescent="0.25">
      <c r="A176" s="21" t="s">
        <v>7</v>
      </c>
      <c r="B176" s="81"/>
      <c r="C176" s="66">
        <f>IF(C167="Dim",C172,IF(C182="ferie",C172,0))</f>
        <v>0</v>
      </c>
      <c r="D176" s="66">
        <f t="shared" ref="D176:I176" si="291">IF(D167="Dim",D172,IF(D182="ferie",D172,0))</f>
        <v>0</v>
      </c>
      <c r="E176" s="66">
        <f t="shared" si="291"/>
        <v>0</v>
      </c>
      <c r="F176" s="66">
        <f t="shared" si="291"/>
        <v>0</v>
      </c>
      <c r="G176" s="66">
        <f t="shared" si="291"/>
        <v>0</v>
      </c>
      <c r="H176" s="66">
        <f t="shared" si="291"/>
        <v>0</v>
      </c>
      <c r="I176" s="66">
        <f t="shared" si="291"/>
        <v>0</v>
      </c>
      <c r="J176" s="60">
        <f t="shared" si="280"/>
        <v>0</v>
      </c>
      <c r="K176" s="60"/>
      <c r="L176" s="66">
        <f>IF(L167="Dim",L172,IF(L182="ferie",L172,0))</f>
        <v>0</v>
      </c>
      <c r="M176" s="66">
        <f t="shared" ref="M176:R176" si="292">IF(M167="Dim",M172,IF(M182="ferie",M172,0))</f>
        <v>0</v>
      </c>
      <c r="N176" s="66">
        <f t="shared" si="292"/>
        <v>0</v>
      </c>
      <c r="O176" s="66">
        <f t="shared" si="292"/>
        <v>0</v>
      </c>
      <c r="P176" s="66">
        <f t="shared" si="292"/>
        <v>0</v>
      </c>
      <c r="Q176" s="66">
        <f>IF(Q167="Dim",Q172,IF(Q182="ferie",Q172,0))</f>
        <v>0</v>
      </c>
      <c r="R176" s="66">
        <f t="shared" si="292"/>
        <v>0</v>
      </c>
      <c r="S176" s="60">
        <f t="shared" ref="S176" si="293">SUM(L176:R176)</f>
        <v>0</v>
      </c>
      <c r="T176" s="60"/>
      <c r="U176" s="66">
        <f>IF(U167="Dim",U172,IF(U182="ferie",U172,0))</f>
        <v>0</v>
      </c>
      <c r="V176" s="66">
        <f t="shared" ref="V176:AA176" si="294">IF(V167="Dim",V172,IF(V182="ferie",V172,0))</f>
        <v>0</v>
      </c>
      <c r="W176" s="66">
        <f t="shared" si="294"/>
        <v>0</v>
      </c>
      <c r="X176" s="66">
        <f t="shared" si="294"/>
        <v>0</v>
      </c>
      <c r="Y176" s="66">
        <f t="shared" si="294"/>
        <v>0</v>
      </c>
      <c r="Z176" s="66">
        <f t="shared" si="294"/>
        <v>0</v>
      </c>
      <c r="AA176" s="66">
        <f t="shared" si="294"/>
        <v>0</v>
      </c>
      <c r="AB176" s="60">
        <f t="shared" si="284"/>
        <v>0</v>
      </c>
      <c r="AC176" s="60"/>
      <c r="AD176" s="66">
        <f>IF(AD167="Dim",AD172,IF(AD182="ferie",AD172,0))</f>
        <v>0</v>
      </c>
      <c r="AE176" s="66">
        <f t="shared" ref="AE176:AJ176" si="295">IF(AE167="Dim",AE172,IF(AE182="ferie",AE172,0))</f>
        <v>0</v>
      </c>
      <c r="AF176" s="66">
        <f t="shared" si="295"/>
        <v>0</v>
      </c>
      <c r="AG176" s="66">
        <f t="shared" si="295"/>
        <v>0</v>
      </c>
      <c r="AH176" s="66">
        <f t="shared" si="295"/>
        <v>0</v>
      </c>
      <c r="AI176" s="66">
        <f t="shared" si="295"/>
        <v>0</v>
      </c>
      <c r="AJ176" s="66">
        <f t="shared" si="295"/>
        <v>0</v>
      </c>
      <c r="AK176" s="60">
        <f t="shared" si="286"/>
        <v>0</v>
      </c>
      <c r="AL176" s="60"/>
      <c r="AM176" s="66">
        <f>IF(AM167="Dim",AM172,IF(AM182="ferie",AM172,0))</f>
        <v>0</v>
      </c>
      <c r="AN176" s="66">
        <f t="shared" ref="AN176:AW176" si="296">IF(AN167="Dim",AN172,IF(AN182="ferie",AN172,0))</f>
        <v>0</v>
      </c>
      <c r="AO176" s="66">
        <f t="shared" si="296"/>
        <v>0</v>
      </c>
      <c r="AP176" s="66">
        <f t="shared" si="296"/>
        <v>0</v>
      </c>
      <c r="AQ176" s="66">
        <f t="shared" si="296"/>
        <v>0</v>
      </c>
      <c r="AR176" s="66">
        <f t="shared" si="296"/>
        <v>0</v>
      </c>
      <c r="AS176" s="66">
        <f t="shared" si="296"/>
        <v>0</v>
      </c>
      <c r="AT176" s="60">
        <f>SUM(AM176:AS176)</f>
        <v>0</v>
      </c>
      <c r="AU176" s="60"/>
      <c r="AV176" s="66">
        <f>IF(AV167="Dim",AV172,IF(AV182="ferie",AV172,0))</f>
        <v>0</v>
      </c>
      <c r="AW176" s="66">
        <f t="shared" si="296"/>
        <v>0</v>
      </c>
      <c r="AX176" s="60">
        <f t="shared" si="278"/>
        <v>0</v>
      </c>
      <c r="AY176" s="60">
        <f t="shared" si="290"/>
        <v>0</v>
      </c>
    </row>
    <row r="177" spans="1:58" ht="15" customHeight="1" x14ac:dyDescent="0.25">
      <c r="A177" s="21" t="s">
        <v>8</v>
      </c>
      <c r="B177" s="81"/>
      <c r="C177" s="31"/>
      <c r="D177" s="31"/>
      <c r="E177" s="31"/>
      <c r="F177" s="31"/>
      <c r="G177" s="31"/>
      <c r="H177" s="31"/>
      <c r="I177" s="31"/>
      <c r="J177" s="60">
        <f t="shared" si="280"/>
        <v>0</v>
      </c>
      <c r="K177" s="60"/>
      <c r="L177" s="31"/>
      <c r="M177" s="31"/>
      <c r="N177" s="31"/>
      <c r="O177" s="31"/>
      <c r="P177" s="31"/>
      <c r="Q177" s="31"/>
      <c r="R177" s="31"/>
      <c r="S177" s="60">
        <f t="shared" si="282"/>
        <v>0</v>
      </c>
      <c r="T177" s="60"/>
      <c r="U177" s="31"/>
      <c r="V177" s="31"/>
      <c r="W177" s="31"/>
      <c r="X177" s="31"/>
      <c r="Y177" s="31"/>
      <c r="Z177" s="31"/>
      <c r="AA177" s="31"/>
      <c r="AB177" s="60">
        <f t="shared" si="284"/>
        <v>0</v>
      </c>
      <c r="AC177" s="60"/>
      <c r="AD177" s="31"/>
      <c r="AE177" s="31"/>
      <c r="AF177" s="31"/>
      <c r="AG177" s="31"/>
      <c r="AH177" s="31"/>
      <c r="AI177" s="31"/>
      <c r="AJ177" s="31"/>
      <c r="AK177" s="60">
        <f t="shared" si="286"/>
        <v>0</v>
      </c>
      <c r="AL177" s="60"/>
      <c r="AM177" s="31"/>
      <c r="AN177" s="31"/>
      <c r="AO177" s="31"/>
      <c r="AP177" s="31"/>
      <c r="AQ177" s="31"/>
      <c r="AR177" s="31"/>
      <c r="AS177" s="31"/>
      <c r="AT177" s="60">
        <f t="shared" si="288"/>
        <v>0</v>
      </c>
      <c r="AU177" s="60"/>
      <c r="AV177" s="31"/>
      <c r="AW177" s="31"/>
      <c r="AX177" s="60">
        <f t="shared" si="278"/>
        <v>0</v>
      </c>
      <c r="AY177" s="60">
        <f t="shared" si="290"/>
        <v>0</v>
      </c>
    </row>
    <row r="178" spans="1:58" ht="15" customHeight="1" x14ac:dyDescent="0.25">
      <c r="A178" s="36" t="s">
        <v>9</v>
      </c>
      <c r="B178" s="82"/>
      <c r="C178" s="31"/>
      <c r="D178" s="31"/>
      <c r="E178" s="31"/>
      <c r="F178" s="31"/>
      <c r="G178" s="31"/>
      <c r="H178" s="31"/>
      <c r="I178" s="31"/>
      <c r="J178" s="60">
        <f t="shared" si="280"/>
        <v>0</v>
      </c>
      <c r="K178" s="60"/>
      <c r="L178" s="31"/>
      <c r="M178" s="31"/>
      <c r="N178" s="31"/>
      <c r="O178" s="31"/>
      <c r="P178" s="31"/>
      <c r="Q178" s="31"/>
      <c r="R178" s="31"/>
      <c r="S178" s="60">
        <f t="shared" si="282"/>
        <v>0</v>
      </c>
      <c r="T178" s="60"/>
      <c r="U178" s="31"/>
      <c r="V178" s="31"/>
      <c r="W178" s="31"/>
      <c r="X178" s="31"/>
      <c r="Y178" s="31"/>
      <c r="Z178" s="31"/>
      <c r="AA178" s="31"/>
      <c r="AB178" s="60">
        <f t="shared" si="284"/>
        <v>0</v>
      </c>
      <c r="AC178" s="60"/>
      <c r="AD178" s="31"/>
      <c r="AE178" s="31"/>
      <c r="AF178" s="31"/>
      <c r="AG178" s="31"/>
      <c r="AH178" s="31"/>
      <c r="AI178" s="31"/>
      <c r="AJ178" s="31"/>
      <c r="AK178" s="60">
        <f t="shared" si="286"/>
        <v>0</v>
      </c>
      <c r="AL178" s="60"/>
      <c r="AM178" s="31"/>
      <c r="AN178" s="31"/>
      <c r="AO178" s="31"/>
      <c r="AP178" s="31"/>
      <c r="AQ178" s="31"/>
      <c r="AR178" s="31"/>
      <c r="AS178" s="31"/>
      <c r="AT178" s="60">
        <f t="shared" si="288"/>
        <v>0</v>
      </c>
      <c r="AU178" s="60"/>
      <c r="AV178" s="31"/>
      <c r="AW178" s="31"/>
      <c r="AX178" s="60">
        <f t="shared" ref="AX178:AX180" si="297">SUM(AV178:AW178)</f>
        <v>0</v>
      </c>
      <c r="AY178" s="60">
        <f t="shared" si="290"/>
        <v>0</v>
      </c>
    </row>
    <row r="179" spans="1:58" ht="15" customHeight="1" x14ac:dyDescent="0.25">
      <c r="A179" s="21" t="s">
        <v>11</v>
      </c>
      <c r="B179" s="81"/>
      <c r="C179" s="31"/>
      <c r="D179" s="31"/>
      <c r="E179" s="31"/>
      <c r="F179" s="31"/>
      <c r="G179" s="31"/>
      <c r="H179" s="31"/>
      <c r="I179" s="31"/>
      <c r="J179" s="60">
        <f t="shared" si="280"/>
        <v>0</v>
      </c>
      <c r="K179" s="60"/>
      <c r="L179" s="31"/>
      <c r="M179" s="31"/>
      <c r="N179" s="31"/>
      <c r="O179" s="31"/>
      <c r="P179" s="31"/>
      <c r="Q179" s="31"/>
      <c r="R179" s="31"/>
      <c r="S179" s="60">
        <f t="shared" si="282"/>
        <v>0</v>
      </c>
      <c r="T179" s="60"/>
      <c r="U179" s="31"/>
      <c r="V179" s="31"/>
      <c r="W179" s="31"/>
      <c r="X179" s="31"/>
      <c r="Y179" s="31"/>
      <c r="Z179" s="31"/>
      <c r="AA179" s="31"/>
      <c r="AB179" s="60">
        <f t="shared" si="284"/>
        <v>0</v>
      </c>
      <c r="AC179" s="60"/>
      <c r="AD179" s="31"/>
      <c r="AE179" s="31"/>
      <c r="AF179" s="31"/>
      <c r="AG179" s="31"/>
      <c r="AH179" s="31"/>
      <c r="AI179" s="31"/>
      <c r="AJ179" s="31"/>
      <c r="AK179" s="60">
        <f t="shared" si="286"/>
        <v>0</v>
      </c>
      <c r="AL179" s="60"/>
      <c r="AM179" s="31"/>
      <c r="AN179" s="31"/>
      <c r="AO179" s="31"/>
      <c r="AP179" s="31"/>
      <c r="AQ179" s="31"/>
      <c r="AR179" s="31"/>
      <c r="AS179" s="31"/>
      <c r="AT179" s="60">
        <f t="shared" si="288"/>
        <v>0</v>
      </c>
      <c r="AU179" s="60"/>
      <c r="AV179" s="31"/>
      <c r="AW179" s="31"/>
      <c r="AX179" s="60">
        <f t="shared" si="297"/>
        <v>0</v>
      </c>
      <c r="AY179" s="60">
        <f t="shared" si="290"/>
        <v>0</v>
      </c>
    </row>
    <row r="180" spans="1:58" ht="15" customHeight="1" x14ac:dyDescent="0.25">
      <c r="A180" s="36" t="s">
        <v>10</v>
      </c>
      <c r="B180" s="82"/>
      <c r="C180" s="31"/>
      <c r="D180" s="31"/>
      <c r="E180" s="31"/>
      <c r="F180" s="31"/>
      <c r="G180" s="31"/>
      <c r="H180" s="31"/>
      <c r="I180" s="31"/>
      <c r="J180" s="60">
        <f t="shared" si="280"/>
        <v>0</v>
      </c>
      <c r="K180" s="60"/>
      <c r="L180" s="31"/>
      <c r="M180" s="31"/>
      <c r="N180" s="31"/>
      <c r="O180" s="31"/>
      <c r="P180" s="31"/>
      <c r="Q180" s="31"/>
      <c r="R180" s="31"/>
      <c r="S180" s="60">
        <f t="shared" si="282"/>
        <v>0</v>
      </c>
      <c r="T180" s="60"/>
      <c r="U180" s="31"/>
      <c r="V180" s="31"/>
      <c r="W180" s="31"/>
      <c r="X180" s="31"/>
      <c r="Y180" s="31"/>
      <c r="Z180" s="31"/>
      <c r="AA180" s="31"/>
      <c r="AB180" s="60">
        <f t="shared" si="284"/>
        <v>0</v>
      </c>
      <c r="AC180" s="60"/>
      <c r="AD180" s="31"/>
      <c r="AE180" s="31"/>
      <c r="AF180" s="31"/>
      <c r="AG180" s="31"/>
      <c r="AH180" s="31"/>
      <c r="AI180" s="31"/>
      <c r="AJ180" s="31"/>
      <c r="AK180" s="60">
        <f t="shared" si="286"/>
        <v>0</v>
      </c>
      <c r="AL180" s="60"/>
      <c r="AM180" s="31"/>
      <c r="AN180" s="31"/>
      <c r="AO180" s="31"/>
      <c r="AP180" s="31"/>
      <c r="AQ180" s="31"/>
      <c r="AR180" s="31"/>
      <c r="AS180" s="31"/>
      <c r="AT180" s="60">
        <f t="shared" si="288"/>
        <v>0</v>
      </c>
      <c r="AU180" s="60"/>
      <c r="AV180" s="31"/>
      <c r="AW180" s="31"/>
      <c r="AX180" s="60">
        <f t="shared" si="297"/>
        <v>0</v>
      </c>
      <c r="AY180" s="60">
        <f t="shared" si="290"/>
        <v>0</v>
      </c>
    </row>
    <row r="181" spans="1:58" s="33" customFormat="1" ht="15" customHeight="1" x14ac:dyDescent="0.25">
      <c r="A181" s="36" t="s">
        <v>44</v>
      </c>
      <c r="B181" s="82"/>
      <c r="C181" s="60">
        <f>IF(C169="nuit",C172*0.02,0)</f>
        <v>0</v>
      </c>
      <c r="D181" s="60">
        <f>IF(D169="nuit",D172*0.02,0)</f>
        <v>0</v>
      </c>
      <c r="E181" s="60">
        <f t="shared" ref="E181:I181" si="298">IF(E169="nuit",E172*0.02,0)</f>
        <v>0</v>
      </c>
      <c r="F181" s="60">
        <f t="shared" si="298"/>
        <v>0</v>
      </c>
      <c r="G181" s="60">
        <f>IF(G169="nuit",G172*0.02,0)</f>
        <v>0</v>
      </c>
      <c r="H181" s="60">
        <f t="shared" si="298"/>
        <v>0</v>
      </c>
      <c r="I181" s="60">
        <f t="shared" si="298"/>
        <v>0</v>
      </c>
      <c r="J181" s="60">
        <f t="shared" si="280"/>
        <v>0</v>
      </c>
      <c r="K181" s="60"/>
      <c r="L181" s="60">
        <f>IF(L169="nuit",L172*0.02,0)</f>
        <v>0</v>
      </c>
      <c r="M181" s="60">
        <f>IF(M169="nuit",M172*0.02,0)</f>
        <v>0</v>
      </c>
      <c r="N181" s="60">
        <f t="shared" ref="N181:R181" si="299">IF(N169="nuit",N172*0.02,0)</f>
        <v>0</v>
      </c>
      <c r="O181" s="60">
        <f t="shared" si="299"/>
        <v>0</v>
      </c>
      <c r="P181" s="60">
        <f>IF(P169="nuit",P172*0.02,0)</f>
        <v>0</v>
      </c>
      <c r="Q181" s="60">
        <f t="shared" si="299"/>
        <v>0</v>
      </c>
      <c r="R181" s="60">
        <f t="shared" si="299"/>
        <v>0</v>
      </c>
      <c r="S181" s="60">
        <f t="shared" si="282"/>
        <v>0</v>
      </c>
      <c r="T181" s="60"/>
      <c r="U181" s="60">
        <f>IF(U169="nuit",U172*0.02,0)</f>
        <v>0</v>
      </c>
      <c r="V181" s="60">
        <f>IF(V169="nuit",V172*0.02,0)</f>
        <v>0</v>
      </c>
      <c r="W181" s="60">
        <f t="shared" ref="W181:AA181" si="300">IF(W169="nuit",W172*0.02,0)</f>
        <v>0</v>
      </c>
      <c r="X181" s="60">
        <f t="shared" si="300"/>
        <v>0</v>
      </c>
      <c r="Y181" s="60">
        <f>IF(Y169="nuit",Y172*0.02,0)</f>
        <v>0</v>
      </c>
      <c r="Z181" s="60">
        <f t="shared" si="300"/>
        <v>0</v>
      </c>
      <c r="AA181" s="60">
        <f t="shared" si="300"/>
        <v>0</v>
      </c>
      <c r="AB181" s="60">
        <f t="shared" si="284"/>
        <v>0</v>
      </c>
      <c r="AC181" s="60"/>
      <c r="AD181" s="60">
        <f>IF(AD169="nuit",AD172*0.02,0)</f>
        <v>0</v>
      </c>
      <c r="AE181" s="60">
        <f>IF(AE169="nuit",AE172*0.02,0)</f>
        <v>0</v>
      </c>
      <c r="AF181" s="60">
        <f t="shared" ref="AF181:AJ181" si="301">IF(AF169="nuit",AF172*0.02,0)</f>
        <v>0</v>
      </c>
      <c r="AG181" s="60">
        <f t="shared" si="301"/>
        <v>0</v>
      </c>
      <c r="AH181" s="60">
        <f>IF(AH169="nuit",AH172*0.02,0)</f>
        <v>0</v>
      </c>
      <c r="AI181" s="60">
        <f t="shared" si="301"/>
        <v>0</v>
      </c>
      <c r="AJ181" s="60">
        <f t="shared" si="301"/>
        <v>0</v>
      </c>
      <c r="AK181" s="60">
        <f t="shared" si="286"/>
        <v>0</v>
      </c>
      <c r="AL181" s="60"/>
      <c r="AM181" s="60">
        <f>IF(AM169="nuit",AM172*0.02,0)</f>
        <v>0</v>
      </c>
      <c r="AN181" s="60">
        <f>IF(AN169="nuit",AN172*0.02,0)</f>
        <v>0</v>
      </c>
      <c r="AO181" s="60">
        <f t="shared" ref="AO181:AS181" si="302">IF(AO169="nuit",AO172*0.02,0)</f>
        <v>0</v>
      </c>
      <c r="AP181" s="60">
        <f t="shared" si="302"/>
        <v>0</v>
      </c>
      <c r="AQ181" s="60">
        <f>IF(AQ169="nuit",AQ172*0.02,0)</f>
        <v>0</v>
      </c>
      <c r="AR181" s="60">
        <f t="shared" si="302"/>
        <v>0</v>
      </c>
      <c r="AS181" s="60">
        <f t="shared" si="302"/>
        <v>0</v>
      </c>
      <c r="AT181" s="60">
        <f t="shared" si="288"/>
        <v>0</v>
      </c>
      <c r="AU181" s="60"/>
      <c r="AV181" s="60">
        <f>IF(AV169="nuit",AV172*0.02,0)</f>
        <v>0</v>
      </c>
      <c r="AW181" s="60">
        <f>IF(AW169="nuit",AW172*0.02,0)</f>
        <v>0</v>
      </c>
      <c r="AX181" s="60">
        <f>SUM(AV181:AW181)</f>
        <v>0</v>
      </c>
      <c r="AY181" s="60">
        <f>J181+S181+AB181+AK181+AT181+AX181</f>
        <v>0</v>
      </c>
      <c r="AZ181" s="52"/>
      <c r="BA181" s="52"/>
      <c r="BB181" s="52"/>
      <c r="BC181" s="52"/>
      <c r="BD181" s="52"/>
      <c r="BE181" s="52"/>
      <c r="BF181" s="35"/>
    </row>
    <row r="182" spans="1:58" ht="15" customHeight="1" x14ac:dyDescent="0.25">
      <c r="A182" s="21" t="s">
        <v>31</v>
      </c>
      <c r="B182" s="81"/>
      <c r="C182" s="31"/>
      <c r="D182" s="31"/>
      <c r="E182" s="31"/>
      <c r="F182" s="31"/>
      <c r="G182" s="31"/>
      <c r="H182" s="37"/>
      <c r="I182" s="37"/>
      <c r="J182" s="64"/>
      <c r="K182" s="64"/>
      <c r="L182" s="37"/>
      <c r="M182" s="37"/>
      <c r="N182" s="37"/>
      <c r="O182" s="37"/>
      <c r="P182" s="37"/>
      <c r="Q182" s="37"/>
      <c r="R182" s="37"/>
      <c r="S182" s="64"/>
      <c r="T182" s="64"/>
      <c r="U182" s="37"/>
      <c r="V182" s="37"/>
      <c r="W182" s="37"/>
      <c r="X182" s="37"/>
      <c r="Y182" s="37"/>
      <c r="Z182" s="37"/>
      <c r="AA182" s="37"/>
      <c r="AB182" s="64"/>
      <c r="AC182" s="64"/>
      <c r="AD182" s="37"/>
      <c r="AE182" s="37"/>
      <c r="AF182" s="37"/>
      <c r="AG182" s="37"/>
      <c r="AH182" s="37"/>
      <c r="AI182" s="37"/>
      <c r="AJ182" s="37"/>
      <c r="AK182" s="64"/>
      <c r="AL182" s="64"/>
      <c r="AM182" s="37"/>
      <c r="AN182" s="37"/>
      <c r="AO182" s="37"/>
      <c r="AP182" s="37"/>
      <c r="AQ182" s="37"/>
      <c r="AR182" s="37"/>
      <c r="AS182" s="37"/>
      <c r="AT182" s="64"/>
      <c r="AU182" s="64"/>
      <c r="AV182" s="37"/>
      <c r="AW182" s="37"/>
      <c r="AX182" s="64"/>
      <c r="AY182" s="65"/>
    </row>
    <row r="183" spans="1:58" ht="15" customHeight="1" x14ac:dyDescent="0.25">
      <c r="A183" s="38"/>
      <c r="B183" s="38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69"/>
    </row>
    <row r="184" spans="1:58" ht="27.6" x14ac:dyDescent="0.25">
      <c r="A184" s="21"/>
      <c r="B184" s="21"/>
      <c r="C184" s="24" t="s">
        <v>29</v>
      </c>
      <c r="D184" s="24"/>
      <c r="E184" s="24"/>
      <c r="F184" s="24"/>
      <c r="G184" s="24"/>
      <c r="H184" s="95">
        <f>Année_Calendaire</f>
        <v>2016</v>
      </c>
      <c r="I184" s="95"/>
      <c r="J184" s="88"/>
      <c r="K184" s="88"/>
      <c r="L184" s="31"/>
      <c r="M184" s="31"/>
      <c r="N184" s="31"/>
      <c r="O184" s="31"/>
      <c r="P184" s="31"/>
      <c r="Q184" s="31"/>
      <c r="R184" s="31"/>
      <c r="S184" s="88"/>
      <c r="T184" s="88"/>
      <c r="U184" s="24" t="s">
        <v>29</v>
      </c>
      <c r="V184" s="24"/>
      <c r="W184" s="24"/>
      <c r="X184" s="24"/>
      <c r="Y184" s="24"/>
      <c r="Z184" s="95">
        <f>Année_Calendaire</f>
        <v>2016</v>
      </c>
      <c r="AA184" s="95"/>
      <c r="AB184" s="88"/>
      <c r="AC184" s="88"/>
      <c r="AD184" s="31"/>
      <c r="AE184" s="31"/>
      <c r="AF184" s="31"/>
      <c r="AG184" s="31"/>
      <c r="AH184" s="31"/>
      <c r="AI184" s="31"/>
      <c r="AJ184" s="31"/>
      <c r="AK184" s="88"/>
      <c r="AL184" s="88"/>
      <c r="AM184" s="24" t="s">
        <v>29</v>
      </c>
      <c r="AN184" s="24"/>
      <c r="AO184" s="24"/>
      <c r="AP184" s="24"/>
      <c r="AQ184" s="24"/>
      <c r="AR184" s="95">
        <f>Année_Calendaire</f>
        <v>2016</v>
      </c>
      <c r="AS184" s="95"/>
      <c r="AT184" s="88"/>
      <c r="AU184" s="88"/>
      <c r="AV184" s="31"/>
      <c r="AW184" s="31"/>
      <c r="AX184" s="88"/>
    </row>
    <row r="185" spans="1:58" ht="29.25" customHeight="1" x14ac:dyDescent="0.25">
      <c r="A185" s="31"/>
      <c r="B185" s="60"/>
      <c r="C185" s="62" t="s">
        <v>13</v>
      </c>
      <c r="D185" s="62" t="s">
        <v>14</v>
      </c>
      <c r="E185" s="62" t="s">
        <v>15</v>
      </c>
      <c r="F185" s="62" t="s">
        <v>16</v>
      </c>
      <c r="G185" s="62" t="s">
        <v>17</v>
      </c>
      <c r="H185" s="62" t="s">
        <v>18</v>
      </c>
      <c r="I185" s="62" t="s">
        <v>19</v>
      </c>
      <c r="J185" s="96" t="s">
        <v>32</v>
      </c>
      <c r="K185" s="87"/>
      <c r="L185" s="62" t="s">
        <v>13</v>
      </c>
      <c r="M185" s="62" t="s">
        <v>14</v>
      </c>
      <c r="N185" s="62" t="s">
        <v>15</v>
      </c>
      <c r="O185" s="62" t="s">
        <v>16</v>
      </c>
      <c r="P185" s="62" t="s">
        <v>17</v>
      </c>
      <c r="Q185" s="62" t="s">
        <v>18</v>
      </c>
      <c r="R185" s="62" t="s">
        <v>19</v>
      </c>
      <c r="S185" s="96" t="s">
        <v>32</v>
      </c>
      <c r="T185" s="87"/>
      <c r="U185" s="62" t="s">
        <v>13</v>
      </c>
      <c r="V185" s="62" t="s">
        <v>14</v>
      </c>
      <c r="W185" s="62" t="s">
        <v>15</v>
      </c>
      <c r="X185" s="62" t="s">
        <v>16</v>
      </c>
      <c r="Y185" s="62" t="s">
        <v>17</v>
      </c>
      <c r="Z185" s="62" t="s">
        <v>18</v>
      </c>
      <c r="AA185" s="62" t="s">
        <v>19</v>
      </c>
      <c r="AB185" s="96" t="s">
        <v>32</v>
      </c>
      <c r="AC185" s="87"/>
      <c r="AD185" s="62" t="s">
        <v>13</v>
      </c>
      <c r="AE185" s="62" t="s">
        <v>14</v>
      </c>
      <c r="AF185" s="62" t="s">
        <v>15</v>
      </c>
      <c r="AG185" s="62" t="s">
        <v>16</v>
      </c>
      <c r="AH185" s="62" t="s">
        <v>17</v>
      </c>
      <c r="AI185" s="62" t="s">
        <v>18</v>
      </c>
      <c r="AJ185" s="62" t="s">
        <v>19</v>
      </c>
      <c r="AK185" s="96" t="s">
        <v>32</v>
      </c>
      <c r="AL185" s="87"/>
      <c r="AM185" s="62" t="s">
        <v>13</v>
      </c>
      <c r="AN185" s="62" t="s">
        <v>14</v>
      </c>
      <c r="AO185" s="62" t="s">
        <v>15</v>
      </c>
      <c r="AP185" s="62" t="s">
        <v>16</v>
      </c>
      <c r="AQ185" s="62" t="s">
        <v>17</v>
      </c>
      <c r="AR185" s="62" t="s">
        <v>18</v>
      </c>
      <c r="AS185" s="62" t="s">
        <v>19</v>
      </c>
      <c r="AT185" s="96" t="s">
        <v>32</v>
      </c>
      <c r="AU185" s="87"/>
      <c r="AV185" s="62" t="s">
        <v>13</v>
      </c>
      <c r="AW185" s="62" t="s">
        <v>14</v>
      </c>
      <c r="AX185" s="96" t="s">
        <v>32</v>
      </c>
      <c r="AY185" s="96" t="s">
        <v>35</v>
      </c>
      <c r="AZ185" s="97">
        <f>AY192+AY193+AY194</f>
        <v>0</v>
      </c>
      <c r="BA185" s="97">
        <f>AZ185+BA167</f>
        <v>15</v>
      </c>
    </row>
    <row r="186" spans="1:58" ht="15" customHeight="1" x14ac:dyDescent="0.25">
      <c r="A186" s="45"/>
      <c r="B186" s="84"/>
      <c r="C186" s="67" t="str">
        <f>IF(DAY(Nov_Dim1)=1,"",IF(AND(YEAR(Nov_Dim1+1)=Année_Calendaire,MONTH(Nov_Dim1+1)=11),Nov_Dim1+1,""))</f>
        <v/>
      </c>
      <c r="D186" s="67">
        <f>IF(DAY(Nov_Dim1)=1,"",IF(AND(YEAR(Nov_Dim1+2)=Année_Calendaire,MONTH(Nov_Dim1+2)=11),Nov_Dim1+2,""))</f>
        <v>42675</v>
      </c>
      <c r="E186" s="67">
        <f>IF(DAY(Nov_Dim1)=1,"",IF(AND(YEAR(Nov_Dim1+3)=Année_Calendaire,MONTH(Nov_Dim1+3)=11),Nov_Dim1+3,""))</f>
        <v>42676</v>
      </c>
      <c r="F186" s="67">
        <f>IF(DAY(Nov_Dim1)=1,"",IF(AND(YEAR(Nov_Dim1+4)=Année_Calendaire,MONTH(Nov_Dim1+4)=11),Nov_Dim1+4,""))</f>
        <v>42677</v>
      </c>
      <c r="G186" s="67">
        <f>IF(DAY(Nov_Dim1)=1,"",IF(AND(YEAR(Nov_Dim1+5)=Année_Calendaire,MONTH(Nov_Dim1+5)=11),Nov_Dim1+5,""))</f>
        <v>42678</v>
      </c>
      <c r="H186" s="67">
        <f>IF(DAY(Nov_Dim1)=1,"",IF(AND(YEAR(Nov_Dim1+6)=Année_Calendaire,MONTH(Nov_Dim1+6)=11),Nov_Dim1+6,""))</f>
        <v>42679</v>
      </c>
      <c r="I186" s="67">
        <f>IF(DAY(Nov_Dim1)=1,IF(AND(YEAR(Nov_Dim1)=Année_Calendaire,MONTH(Nov_Dim1)=11),Nov_Dim1,""),IF(AND(YEAR(Nov_Dim1+7)=Année_Calendaire,MONTH(Nov_Dim1+7)=11),Nov_Dim1+7,""))</f>
        <v>42680</v>
      </c>
      <c r="J186" s="96"/>
      <c r="K186" s="87"/>
      <c r="L186" s="67">
        <f>IF(DAY(Nov_Dim1)=1,IF(AND(YEAR(Nov_Dim1+1)=Année_Calendaire,MONTH(Nov_Dim1+1)=11),Nov_Dim1+1,""),IF(AND(YEAR(Nov_Dim1+8)=Année_Calendaire,MONTH(Nov_Dim1+8)=11),Nov_Dim1+8,""))</f>
        <v>42681</v>
      </c>
      <c r="M186" s="67">
        <f>IF(DAY(Nov_Dim1)=1,IF(AND(YEAR(Nov_Dim1+2)=Année_Calendaire,MONTH(Nov_Dim1+2)=11),Nov_Dim1+2,""),IF(AND(YEAR(Nov_Dim1+9)=Année_Calendaire,MONTH(Nov_Dim1+9)=11),Nov_Dim1+9,""))</f>
        <v>42682</v>
      </c>
      <c r="N186" s="67">
        <f>IF(DAY(Nov_Dim1)=1,IF(AND(YEAR(Nov_Dim1+3)=Année_Calendaire,MONTH(Nov_Dim1+3)=11),Nov_Dim1+3,""),IF(AND(YEAR(Nov_Dim1+10)=Année_Calendaire,MONTH(Nov_Dim1+10)=11),Nov_Dim1+10,""))</f>
        <v>42683</v>
      </c>
      <c r="O186" s="67">
        <f>IF(DAY(Nov_Dim1)=1,IF(AND(YEAR(Nov_Dim1+4)=Année_Calendaire,MONTH(Nov_Dim1+4)=11),Nov_Dim1+4,""),IF(AND(YEAR(Nov_Dim1+11)=Année_Calendaire,MONTH(Nov_Dim1+11)=11),Nov_Dim1+11,""))</f>
        <v>42684</v>
      </c>
      <c r="P186" s="67">
        <f>IF(DAY(Nov_Dim1)=1,IF(AND(YEAR(Nov_Dim1+5)=Année_Calendaire,MONTH(Nov_Dim1+5)=11),Nov_Dim1+5,""),IF(AND(YEAR(Nov_Dim1+12)=Année_Calendaire,MONTH(Nov_Dim1+12)=11),Nov_Dim1+12,""))</f>
        <v>42685</v>
      </c>
      <c r="Q186" s="67">
        <f>IF(DAY(Nov_Dim1)=1,IF(AND(YEAR(Nov_Dim1+6)=Année_Calendaire,MONTH(Nov_Dim1+6)=11),Nov_Dim1+6,""),IF(AND(YEAR(Nov_Dim1+13)=Année_Calendaire,MONTH(Nov_Dim1+13)=11),Nov_Dim1+13,""))</f>
        <v>42686</v>
      </c>
      <c r="R186" s="67">
        <f>IF(DAY(Nov_Dim1)=1,IF(AND(YEAR(Nov_Dim1+7)=Année_Calendaire,MONTH(Nov_Dim1+7)=11),Nov_Dim1+7,""),IF(AND(YEAR(Nov_Dim1+14)=Année_Calendaire,MONTH(Nov_Dim1+14)=11),Nov_Dim1+14,""))</f>
        <v>42687</v>
      </c>
      <c r="S186" s="96"/>
      <c r="T186" s="87"/>
      <c r="U186" s="67">
        <f>IF(DAY(Nov_Dim1)=1,IF(AND(YEAR(Nov_Dim1+8)=Année_Calendaire,MONTH(Nov_Dim1+8)=11),Nov_Dim1+8,""),IF(AND(YEAR(Nov_Dim1+15)=Année_Calendaire,MONTH(Nov_Dim1+15)=11),Nov_Dim1+15,""))</f>
        <v>42688</v>
      </c>
      <c r="V186" s="67">
        <f>IF(DAY(Nov_Dim1)=1,IF(AND(YEAR(Nov_Dim1+9)=Année_Calendaire,MONTH(Nov_Dim1+9)=11),Nov_Dim1+9,""),IF(AND(YEAR(Nov_Dim1+16)=Année_Calendaire,MONTH(Nov_Dim1+16)=11),Nov_Dim1+16,""))</f>
        <v>42689</v>
      </c>
      <c r="W186" s="67">
        <f>IF(DAY(Nov_Dim1)=1,IF(AND(YEAR(Nov_Dim1+10)=Année_Calendaire,MONTH(Nov_Dim1+10)=11),Nov_Dim1+10,""),IF(AND(YEAR(Nov_Dim1+17)=Année_Calendaire,MONTH(Nov_Dim1+17)=11),Nov_Dim1+17,""))</f>
        <v>42690</v>
      </c>
      <c r="X186" s="67">
        <f>IF(DAY(Nov_Dim1)=1,IF(AND(YEAR(Nov_Dim1+11)=Année_Calendaire,MONTH(Nov_Dim1+11)=11),Nov_Dim1+11,""),IF(AND(YEAR(Nov_Dim1+18)=Année_Calendaire,MONTH(Nov_Dim1+18)=11),Nov_Dim1+18,""))</f>
        <v>42691</v>
      </c>
      <c r="Y186" s="67">
        <f>IF(DAY(Nov_Dim1)=1,IF(AND(YEAR(Nov_Dim1+12)=Année_Calendaire,MONTH(Nov_Dim1+12)=11),Nov_Dim1+12,""),IF(AND(YEAR(Nov_Dim1+19)=Année_Calendaire,MONTH(Nov_Dim1+19)=11),Nov_Dim1+19,""))</f>
        <v>42692</v>
      </c>
      <c r="Z186" s="67">
        <f>IF(DAY(Nov_Dim1)=1,IF(AND(YEAR(Nov_Dim1+13)=Année_Calendaire,MONTH(Nov_Dim1+13)=11),Nov_Dim1+13,""),IF(AND(YEAR(Nov_Dim1+20)=Année_Calendaire,MONTH(Nov_Dim1+20)=11),Nov_Dim1+20,""))</f>
        <v>42693</v>
      </c>
      <c r="AA186" s="67">
        <f>IF(DAY(Nov_Dim1)=1,IF(AND(YEAR(Nov_Dim1+14)=Année_Calendaire,MONTH(Nov_Dim1+14)=11),Nov_Dim1+14,""),IF(AND(YEAR(Nov_Dim1+21)=Année_Calendaire,MONTH(Nov_Dim1+21)=11),Nov_Dim1+21,""))</f>
        <v>42694</v>
      </c>
      <c r="AB186" s="96"/>
      <c r="AC186" s="87"/>
      <c r="AD186" s="67">
        <f>IF(DAY(Nov_Dim1)=1,IF(AND(YEAR(Nov_Dim1+15)=Année_Calendaire,MONTH(Nov_Dim1+15)=11),Nov_Dim1+15,""),IF(AND(YEAR(Nov_Dim1+22)=Année_Calendaire,MONTH(Nov_Dim1+22)=11),Nov_Dim1+22,""))</f>
        <v>42695</v>
      </c>
      <c r="AE186" s="67">
        <f>IF(DAY(Nov_Dim1)=1,IF(AND(YEAR(Nov_Dim1+16)=Année_Calendaire,MONTH(Nov_Dim1+16)=11),Nov_Dim1+16,""),IF(AND(YEAR(Nov_Dim1+23)=Année_Calendaire,MONTH(Nov_Dim1+23)=11),Nov_Dim1+23,""))</f>
        <v>42696</v>
      </c>
      <c r="AF186" s="67">
        <f>IF(DAY(Nov_Dim1)=1,IF(AND(YEAR(Nov_Dim1+17)=Année_Calendaire,MONTH(Nov_Dim1+17)=11),Nov_Dim1+17,""),IF(AND(YEAR(Nov_Dim1+24)=Année_Calendaire,MONTH(Nov_Dim1+24)=11),Nov_Dim1+24,""))</f>
        <v>42697</v>
      </c>
      <c r="AG186" s="67">
        <f>IF(DAY(Nov_Dim1)=1,IF(AND(YEAR(Nov_Dim1+18)=Année_Calendaire,MONTH(Nov_Dim1+18)=11),Nov_Dim1+18,""),IF(AND(YEAR(Nov_Dim1+25)=Année_Calendaire,MONTH(Nov_Dim1+25)=11),Nov_Dim1+25,""))</f>
        <v>42698</v>
      </c>
      <c r="AH186" s="67">
        <f>IF(DAY(Nov_Dim1)=1,IF(AND(YEAR(Nov_Dim1+19)=Année_Calendaire,MONTH(Nov_Dim1+19)=11),Nov_Dim1+19,""),IF(AND(YEAR(Nov_Dim1+26)=Année_Calendaire,MONTH(Nov_Dim1+26)=11),Nov_Dim1+26,""))</f>
        <v>42699</v>
      </c>
      <c r="AI186" s="67">
        <f>IF(DAY(Nov_Dim1)=1,IF(AND(YEAR(Nov_Dim1+20)=Année_Calendaire,MONTH(Nov_Dim1+20)=11),Nov_Dim1+20,""),IF(AND(YEAR(Nov_Dim1+27)=Année_Calendaire,MONTH(Nov_Dim1+27)=11),Nov_Dim1+27,""))</f>
        <v>42700</v>
      </c>
      <c r="AJ186" s="67">
        <f>IF(DAY(Nov_Dim1)=1,IF(AND(YEAR(Nov_Dim1+21)=Année_Calendaire,MONTH(Nov_Dim1+21)=11),Nov_Dim1+21,""),IF(AND(YEAR(Nov_Dim1+28)=Année_Calendaire,MONTH(Nov_Dim1+28)=11),Nov_Dim1+28,""))</f>
        <v>42701</v>
      </c>
      <c r="AK186" s="96"/>
      <c r="AL186" s="87"/>
      <c r="AM186" s="67">
        <f>IF(DAY(Nov_Dim1)=1,IF(AND(YEAR(Nov_Dim1+22)=Année_Calendaire,MONTH(Nov_Dim1+22)=11),Nov_Dim1+22,""),IF(AND(YEAR(Nov_Dim1+29)=Année_Calendaire,MONTH(Nov_Dim1+29)=11),Nov_Dim1+29,""))</f>
        <v>42702</v>
      </c>
      <c r="AN186" s="67">
        <f>IF(DAY(Nov_Dim1)=1,IF(AND(YEAR(Nov_Dim1+23)=Année_Calendaire,MONTH(Nov_Dim1+23)=11),Nov_Dim1+23,""),IF(AND(YEAR(Nov_Dim1+30)=Année_Calendaire,MONTH(Nov_Dim1+30)=11),Nov_Dim1+30,""))</f>
        <v>42703</v>
      </c>
      <c r="AO186" s="67">
        <f>IF(DAY(Nov_Dim1)=1,IF(AND(YEAR(Nov_Dim1+24)=Année_Calendaire,MONTH(Nov_Dim1+24)=11),Nov_Dim1+24,""),IF(AND(YEAR(Nov_Dim1+31)=Année_Calendaire,MONTH(Nov_Dim1+31)=11),Nov_Dim1+31,""))</f>
        <v>42704</v>
      </c>
      <c r="AP186" s="67" t="str">
        <f>IF(DAY(Nov_Dim1)=1,IF(AND(YEAR(Nov_Dim1+25)=Année_Calendaire,MONTH(Nov_Dim1+25)=11),Nov_Dim1+25,""),IF(AND(YEAR(Nov_Dim1+32)=Année_Calendaire,MONTH(Nov_Dim1+32)=11),Nov_Dim1+32,""))</f>
        <v/>
      </c>
      <c r="AQ186" s="67" t="str">
        <f>IF(DAY(Nov_Dim1)=1,IF(AND(YEAR(Nov_Dim1+26)=Année_Calendaire,MONTH(Nov_Dim1+26)=11),Nov_Dim1+26,""),IF(AND(YEAR(Nov_Dim1+33)=Année_Calendaire,MONTH(Nov_Dim1+33)=11),Nov_Dim1+33,""))</f>
        <v/>
      </c>
      <c r="AR186" s="67" t="str">
        <f>IF(DAY(Nov_Dim1)=1,IF(AND(YEAR(Nov_Dim1+27)=Année_Calendaire,MONTH(Nov_Dim1+27)=11),Nov_Dim1+27,""),IF(AND(YEAR(Nov_Dim1+34)=Année_Calendaire,MONTH(Nov_Dim1+34)=11),Nov_Dim1+34,""))</f>
        <v/>
      </c>
      <c r="AS186" s="67" t="str">
        <f>IF(DAY(Nov_Dim1)=1,IF(AND(YEAR(Nov_Dim1+28)=Année_Calendaire,MONTH(Nov_Dim1+28)=11),Nov_Dim1+28,""),IF(AND(YEAR(Nov_Dim1+35)=Année_Calendaire,MONTH(Nov_Dim1+35)=11),Nov_Dim1+35,""))</f>
        <v/>
      </c>
      <c r="AT186" s="96"/>
      <c r="AU186" s="87"/>
      <c r="AV186" s="61" t="str">
        <f>IF(DAY(Nov_Dim1)=1,IF(AND(YEAR(Nov_Dim1+29)=Année_Calendaire,MONTH(Nov_Dim1+29)=11),Nov_Dim1+29,""),IF(AND(YEAR(Nov_Dim1+36)=Année_Calendaire,MONTH(Nov_Dim1+36)=11),Nov_Dim1+36,""))</f>
        <v/>
      </c>
      <c r="AW186" s="61" t="str">
        <f>IF(DAY(Nov_Dim1)=1,IF(AND(YEAR(Nov_Dim1+30)=Année_Calendaire,MONTH(Nov_Dim1+30)=11),Nov_Dim1+30,""),IF(AND(YEAR(Nov_Dim1+37)=Année_Calendaire,MONTH(Nov_Dim1+37)=11),Nov_Dim1+37,""))</f>
        <v/>
      </c>
      <c r="AX186" s="96"/>
      <c r="AY186" s="96"/>
      <c r="AZ186" s="97"/>
      <c r="BA186" s="97"/>
    </row>
    <row r="187" spans="1:58" ht="15" customHeight="1" x14ac:dyDescent="0.25">
      <c r="A187" s="21" t="s">
        <v>2</v>
      </c>
      <c r="B187" s="81"/>
      <c r="C187" s="31"/>
      <c r="D187" s="31"/>
      <c r="E187" s="31"/>
      <c r="F187" s="31"/>
      <c r="G187" s="31"/>
      <c r="H187" s="31"/>
      <c r="I187" s="31"/>
      <c r="J187" s="60"/>
      <c r="K187" s="60"/>
      <c r="L187" s="31"/>
      <c r="M187" s="31"/>
      <c r="N187" s="31"/>
      <c r="O187" s="31"/>
      <c r="P187" s="31"/>
      <c r="Q187" s="31"/>
      <c r="R187" s="31"/>
      <c r="S187" s="60"/>
      <c r="T187" s="60"/>
      <c r="U187" s="31"/>
      <c r="V187" s="31"/>
      <c r="W187" s="31"/>
      <c r="X187" s="31"/>
      <c r="Y187" s="31"/>
      <c r="Z187" s="31"/>
      <c r="AA187" s="31"/>
      <c r="AB187" s="60"/>
      <c r="AC187" s="60"/>
      <c r="AD187" s="31"/>
      <c r="AE187" s="31"/>
      <c r="AF187" s="31"/>
      <c r="AG187" s="31"/>
      <c r="AH187" s="31"/>
      <c r="AI187" s="31"/>
      <c r="AJ187" s="31"/>
      <c r="AK187" s="60"/>
      <c r="AL187" s="60"/>
      <c r="AM187" s="31"/>
      <c r="AN187" s="31"/>
      <c r="AO187" s="31"/>
      <c r="AP187" s="31"/>
      <c r="AQ187" s="31"/>
      <c r="AR187" s="31"/>
      <c r="AS187" s="31"/>
      <c r="AT187" s="60"/>
      <c r="AU187" s="60"/>
      <c r="AV187" s="31"/>
      <c r="AW187" s="31"/>
      <c r="AX187" s="60"/>
      <c r="AY187" s="63"/>
    </row>
    <row r="188" spans="1:58" ht="15" customHeight="1" x14ac:dyDescent="0.25">
      <c r="A188" s="21" t="s">
        <v>12</v>
      </c>
      <c r="B188" s="81"/>
      <c r="C188" s="60">
        <f t="shared" ref="C188:I188" si="303">IF(C187="Matin",1,IF(C187="AM",1,0))</f>
        <v>0</v>
      </c>
      <c r="D188" s="60">
        <f t="shared" si="303"/>
        <v>0</v>
      </c>
      <c r="E188" s="60">
        <f t="shared" si="303"/>
        <v>0</v>
      </c>
      <c r="F188" s="60">
        <f t="shared" si="303"/>
        <v>0</v>
      </c>
      <c r="G188" s="60">
        <f t="shared" si="303"/>
        <v>0</v>
      </c>
      <c r="H188" s="60">
        <f t="shared" si="303"/>
        <v>0</v>
      </c>
      <c r="I188" s="60">
        <f t="shared" si="303"/>
        <v>0</v>
      </c>
      <c r="J188" s="60">
        <f>SUM(C188:I188)</f>
        <v>0</v>
      </c>
      <c r="K188" s="60"/>
      <c r="L188" s="60">
        <f t="shared" ref="L188:R188" si="304">IF(L187="Matin",1,IF(L187="AM",1,0))</f>
        <v>0</v>
      </c>
      <c r="M188" s="60">
        <f t="shared" si="304"/>
        <v>0</v>
      </c>
      <c r="N188" s="60">
        <f t="shared" si="304"/>
        <v>0</v>
      </c>
      <c r="O188" s="60">
        <f t="shared" si="304"/>
        <v>0</v>
      </c>
      <c r="P188" s="60">
        <f t="shared" si="304"/>
        <v>0</v>
      </c>
      <c r="Q188" s="60">
        <f t="shared" si="304"/>
        <v>0</v>
      </c>
      <c r="R188" s="60">
        <f t="shared" si="304"/>
        <v>0</v>
      </c>
      <c r="S188" s="60">
        <f>SUM(L188:R188)</f>
        <v>0</v>
      </c>
      <c r="T188" s="60"/>
      <c r="U188" s="60">
        <f t="shared" ref="U188:AA188" si="305">IF(U187="Matin",1,IF(U187="AM",1,0))</f>
        <v>0</v>
      </c>
      <c r="V188" s="60">
        <f t="shared" si="305"/>
        <v>0</v>
      </c>
      <c r="W188" s="60">
        <f t="shared" si="305"/>
        <v>0</v>
      </c>
      <c r="X188" s="60">
        <f t="shared" si="305"/>
        <v>0</v>
      </c>
      <c r="Y188" s="60">
        <f t="shared" si="305"/>
        <v>0</v>
      </c>
      <c r="Z188" s="60">
        <f t="shared" si="305"/>
        <v>0</v>
      </c>
      <c r="AA188" s="60">
        <f t="shared" si="305"/>
        <v>0</v>
      </c>
      <c r="AB188" s="60">
        <f>SUM(U188:AA188)</f>
        <v>0</v>
      </c>
      <c r="AC188" s="60"/>
      <c r="AD188" s="60">
        <f t="shared" ref="AD188:AJ188" si="306">IF(AD187="Matin",1,IF(AD187="AM",1,0))</f>
        <v>0</v>
      </c>
      <c r="AE188" s="60">
        <f t="shared" si="306"/>
        <v>0</v>
      </c>
      <c r="AF188" s="60">
        <f t="shared" si="306"/>
        <v>0</v>
      </c>
      <c r="AG188" s="60">
        <f t="shared" si="306"/>
        <v>0</v>
      </c>
      <c r="AH188" s="60">
        <f t="shared" si="306"/>
        <v>0</v>
      </c>
      <c r="AI188" s="60">
        <f t="shared" si="306"/>
        <v>0</v>
      </c>
      <c r="AJ188" s="60">
        <f t="shared" si="306"/>
        <v>0</v>
      </c>
      <c r="AK188" s="60">
        <f>SUM(AD188:AJ188)</f>
        <v>0</v>
      </c>
      <c r="AL188" s="60"/>
      <c r="AM188" s="60">
        <f t="shared" ref="AM188:AS188" si="307">IF(AM187="Matin",1,IF(AM187="AM",1,0))</f>
        <v>0</v>
      </c>
      <c r="AN188" s="60">
        <f t="shared" si="307"/>
        <v>0</v>
      </c>
      <c r="AO188" s="60">
        <f t="shared" si="307"/>
        <v>0</v>
      </c>
      <c r="AP188" s="60">
        <f t="shared" si="307"/>
        <v>0</v>
      </c>
      <c r="AQ188" s="60">
        <f t="shared" si="307"/>
        <v>0</v>
      </c>
      <c r="AR188" s="60">
        <f t="shared" si="307"/>
        <v>0</v>
      </c>
      <c r="AS188" s="60">
        <f t="shared" si="307"/>
        <v>0</v>
      </c>
      <c r="AT188" s="60">
        <f>SUM(AM188:AS188)</f>
        <v>0</v>
      </c>
      <c r="AU188" s="60"/>
      <c r="AV188" s="60">
        <f t="shared" ref="AV188:AW188" si="308">IF(AV187="Matin",1,IF(AV187="AM",1,0))</f>
        <v>0</v>
      </c>
      <c r="AW188" s="60">
        <f t="shared" si="308"/>
        <v>0</v>
      </c>
      <c r="AX188" s="60">
        <f t="shared" ref="AX188:AX195" si="309">SUM(AV188:AW188)</f>
        <v>0</v>
      </c>
      <c r="AY188" s="60">
        <f>J188+S188+AB188+AK188+AT188+AX188</f>
        <v>0</v>
      </c>
    </row>
    <row r="189" spans="1:58" ht="15" customHeight="1" x14ac:dyDescent="0.25">
      <c r="A189" s="21" t="s">
        <v>4</v>
      </c>
      <c r="B189" s="81"/>
      <c r="C189" s="60">
        <f>IF(C190&gt;=1,1,0)</f>
        <v>0</v>
      </c>
      <c r="D189" s="60">
        <f>IF(D190&gt;=1,1,0)</f>
        <v>0</v>
      </c>
      <c r="E189" s="60">
        <f t="shared" ref="E189:I189" si="310">IF(E190&gt;=1,1,0)</f>
        <v>0</v>
      </c>
      <c r="F189" s="60">
        <f t="shared" si="310"/>
        <v>0</v>
      </c>
      <c r="G189" s="60">
        <f t="shared" si="310"/>
        <v>0</v>
      </c>
      <c r="H189" s="60">
        <f t="shared" si="310"/>
        <v>0</v>
      </c>
      <c r="I189" s="60">
        <f t="shared" si="310"/>
        <v>0</v>
      </c>
      <c r="J189" s="60">
        <f t="shared" ref="J189:J199" si="311">SUM(C189:I189)</f>
        <v>0</v>
      </c>
      <c r="K189" s="60"/>
      <c r="L189" s="60">
        <f>IF(L190&gt;=1,1,0)</f>
        <v>0</v>
      </c>
      <c r="M189" s="60">
        <f t="shared" ref="M189:R189" si="312">IF(M190&gt;=1,1,0)</f>
        <v>0</v>
      </c>
      <c r="N189" s="60">
        <f t="shared" si="312"/>
        <v>0</v>
      </c>
      <c r="O189" s="60">
        <f t="shared" si="312"/>
        <v>0</v>
      </c>
      <c r="P189" s="60">
        <f t="shared" si="312"/>
        <v>0</v>
      </c>
      <c r="Q189" s="60">
        <f t="shared" si="312"/>
        <v>0</v>
      </c>
      <c r="R189" s="60">
        <f t="shared" si="312"/>
        <v>0</v>
      </c>
      <c r="S189" s="60">
        <f t="shared" ref="S189:S199" si="313">SUM(L189:R189)</f>
        <v>0</v>
      </c>
      <c r="T189" s="60"/>
      <c r="U189" s="60">
        <f>IF(U190&gt;=1,1,0)</f>
        <v>0</v>
      </c>
      <c r="V189" s="60">
        <f t="shared" ref="V189:AA189" si="314">IF(V190&gt;=1,1,0)</f>
        <v>0</v>
      </c>
      <c r="W189" s="60">
        <f t="shared" si="314"/>
        <v>0</v>
      </c>
      <c r="X189" s="60">
        <f t="shared" si="314"/>
        <v>0</v>
      </c>
      <c r="Y189" s="60">
        <f t="shared" si="314"/>
        <v>0</v>
      </c>
      <c r="Z189" s="60">
        <f t="shared" si="314"/>
        <v>0</v>
      </c>
      <c r="AA189" s="60">
        <f t="shared" si="314"/>
        <v>0</v>
      </c>
      <c r="AB189" s="60">
        <f t="shared" ref="AB189:AB199" si="315">SUM(U189:AA189)</f>
        <v>0</v>
      </c>
      <c r="AC189" s="60"/>
      <c r="AD189" s="60">
        <f>IF(AD190&gt;=1,1,0)</f>
        <v>0</v>
      </c>
      <c r="AE189" s="60">
        <f t="shared" ref="AE189:AJ189" si="316">IF(AE190&gt;=1,1,0)</f>
        <v>0</v>
      </c>
      <c r="AF189" s="60">
        <f t="shared" si="316"/>
        <v>0</v>
      </c>
      <c r="AG189" s="60">
        <f t="shared" si="316"/>
        <v>0</v>
      </c>
      <c r="AH189" s="60">
        <f t="shared" si="316"/>
        <v>0</v>
      </c>
      <c r="AI189" s="60">
        <f t="shared" si="316"/>
        <v>0</v>
      </c>
      <c r="AJ189" s="60">
        <f t="shared" si="316"/>
        <v>0</v>
      </c>
      <c r="AK189" s="60">
        <f t="shared" ref="AK189:AK199" si="317">SUM(AD189:AJ189)</f>
        <v>0</v>
      </c>
      <c r="AL189" s="60"/>
      <c r="AM189" s="60">
        <f>IF(AM190&gt;=1,1,0)</f>
        <v>0</v>
      </c>
      <c r="AN189" s="60">
        <f t="shared" ref="AN189:AS189" si="318">IF(AN190&gt;=1,1,0)</f>
        <v>0</v>
      </c>
      <c r="AO189" s="60">
        <f t="shared" si="318"/>
        <v>0</v>
      </c>
      <c r="AP189" s="60">
        <f t="shared" si="318"/>
        <v>0</v>
      </c>
      <c r="AQ189" s="60">
        <f t="shared" si="318"/>
        <v>0</v>
      </c>
      <c r="AR189" s="60">
        <f t="shared" si="318"/>
        <v>0</v>
      </c>
      <c r="AS189" s="60">
        <f t="shared" si="318"/>
        <v>0</v>
      </c>
      <c r="AT189" s="60">
        <f t="shared" ref="AT189:AT199" si="319">SUM(AM189:AS189)</f>
        <v>0</v>
      </c>
      <c r="AU189" s="60"/>
      <c r="AV189" s="60">
        <f>IF(AV190&gt;=1,1,0)</f>
        <v>0</v>
      </c>
      <c r="AW189" s="60">
        <f t="shared" ref="AW189" si="320">IF(AW190&gt;=1,1,0)</f>
        <v>0</v>
      </c>
      <c r="AX189" s="60">
        <f t="shared" si="309"/>
        <v>0</v>
      </c>
      <c r="AY189" s="60">
        <f t="shared" ref="AY189:AY198" si="321">J189+S189+AB189+AK189+AT189+AX189</f>
        <v>0</v>
      </c>
    </row>
    <row r="190" spans="1:58" x14ac:dyDescent="0.25">
      <c r="A190" s="21" t="s">
        <v>3</v>
      </c>
      <c r="B190" s="81"/>
      <c r="C190" s="31"/>
      <c r="D190" s="31"/>
      <c r="E190" s="31"/>
      <c r="F190" s="31"/>
      <c r="G190" s="31"/>
      <c r="H190" s="31"/>
      <c r="I190" s="31"/>
      <c r="J190" s="60">
        <f t="shared" si="311"/>
        <v>0</v>
      </c>
      <c r="K190" s="60"/>
      <c r="L190" s="31"/>
      <c r="M190" s="31"/>
      <c r="N190" s="31"/>
      <c r="O190" s="31"/>
      <c r="P190" s="31"/>
      <c r="Q190" s="31"/>
      <c r="R190" s="31"/>
      <c r="S190" s="60">
        <f t="shared" si="313"/>
        <v>0</v>
      </c>
      <c r="T190" s="60"/>
      <c r="U190" s="31"/>
      <c r="V190" s="31"/>
      <c r="W190" s="31"/>
      <c r="X190" s="31"/>
      <c r="Y190" s="31"/>
      <c r="Z190" s="31"/>
      <c r="AA190" s="31"/>
      <c r="AB190" s="60">
        <f t="shared" si="315"/>
        <v>0</v>
      </c>
      <c r="AC190" s="60"/>
      <c r="AD190" s="31"/>
      <c r="AE190" s="31"/>
      <c r="AF190" s="31"/>
      <c r="AG190" s="31"/>
      <c r="AH190" s="31"/>
      <c r="AI190" s="31"/>
      <c r="AJ190" s="31"/>
      <c r="AK190" s="60">
        <f t="shared" si="317"/>
        <v>0</v>
      </c>
      <c r="AL190" s="60"/>
      <c r="AM190" s="31"/>
      <c r="AN190" s="31"/>
      <c r="AO190" s="31"/>
      <c r="AP190" s="31"/>
      <c r="AQ190" s="31"/>
      <c r="AR190" s="31"/>
      <c r="AS190" s="31"/>
      <c r="AT190" s="60">
        <f t="shared" si="319"/>
        <v>0</v>
      </c>
      <c r="AU190" s="60"/>
      <c r="AV190" s="31"/>
      <c r="AW190" s="31"/>
      <c r="AX190" s="60">
        <f t="shared" si="309"/>
        <v>0</v>
      </c>
      <c r="AY190" s="60">
        <f t="shared" si="321"/>
        <v>0</v>
      </c>
    </row>
    <row r="191" spans="1:58" x14ac:dyDescent="0.25">
      <c r="A191" s="36" t="s">
        <v>20</v>
      </c>
      <c r="B191" s="82"/>
      <c r="C191" s="66">
        <f>IF(C185&lt;&gt;"Dim",IF(C190&gt;32,MIN(C190,35)-32,0),0)</f>
        <v>0</v>
      </c>
      <c r="D191" s="66">
        <f>IF(D185&lt;&gt;"Dim",IF(SUM($C190:D190)&gt;32,MIN(SUM($C190:D190),35)-32-SUM($C191:C191),0),0)</f>
        <v>0</v>
      </c>
      <c r="E191" s="66">
        <f>IF(E185&lt;&gt;"Dim",IF(SUM($C190:E190)&gt;32,MIN(SUM($C190:E190),35)-32-SUM($C191:D191),0),0)</f>
        <v>0</v>
      </c>
      <c r="F191" s="66">
        <f>IF(F185&lt;&gt;"Dim",IF(SUM($C190:F190)&gt;32,MIN(SUM($C190:F190),35)-32-SUM($C191:E191),0),0)</f>
        <v>0</v>
      </c>
      <c r="G191" s="66">
        <f>IF(G185&lt;&gt;"Dim",IF(SUM($C190:G190)&gt;32,MIN(SUM($C190:G190),35)-32-SUM($C191:F191),0),0)</f>
        <v>0</v>
      </c>
      <c r="H191" s="66">
        <f>IF(H185&lt;&gt;"Dim",IF(SUM($C190:H190)&gt;32,MIN(SUM($C190:H190),35)-32-SUM($C191:G191),0),0)</f>
        <v>0</v>
      </c>
      <c r="I191" s="66">
        <f>IF(I185&lt;&gt;"Dim",IF(SUM($C190:I190)&gt;32,MIN(SUM($C190:I190),35)-32-SUM($C191:H191),0),0)</f>
        <v>0</v>
      </c>
      <c r="J191" s="60">
        <f t="shared" si="311"/>
        <v>0</v>
      </c>
      <c r="K191" s="60"/>
      <c r="L191" s="66">
        <f>IF(L185&lt;&gt;"Dim",IF(L190&gt;32,MIN(L190,35)-32,0),0)</f>
        <v>0</v>
      </c>
      <c r="M191" s="66">
        <f>IF(M185&lt;&gt;"Dim",IF(SUM($L190:M190)&gt;32,MIN(SUM($L190:M190),35)-32-SUM($L191:L191),0),0)</f>
        <v>0</v>
      </c>
      <c r="N191" s="66">
        <f>IF(N185&lt;&gt;"Dim",IF(SUM($L190:N190)&gt;32,MIN(SUM($L190:N190),35)-32-SUM($L191:M191),0),0)</f>
        <v>0</v>
      </c>
      <c r="O191" s="66">
        <f>IF(O185&lt;&gt;"Dim",IF(SUM($L190:O190)&gt;32,MIN(SUM($L190:O190),35)-32-SUM($L191:N191),0),0)</f>
        <v>0</v>
      </c>
      <c r="P191" s="66">
        <f>IF(P185&lt;&gt;"Dim",IF(SUM($L190:P190)&gt;32,MIN(SUM($L190:P190),35)-32-SUM($L191:O191),0),0)</f>
        <v>0</v>
      </c>
      <c r="Q191" s="66">
        <f>IF(Q185&lt;&gt;"Dim",IF(SUM($L190:Q190)&gt;32,MIN(SUM($L190:Q190),35)-32-SUM($L191:P191),0),0)</f>
        <v>0</v>
      </c>
      <c r="R191" s="66">
        <f>IF(R185&lt;&gt;"Dim",IF(SUM($L190:R190)&gt;32,MIN(SUM($L190:R190),35)-32-SUM($L191:Q191),0),0)</f>
        <v>0</v>
      </c>
      <c r="S191" s="60">
        <f t="shared" si="313"/>
        <v>0</v>
      </c>
      <c r="T191" s="60"/>
      <c r="U191" s="66">
        <f>IF(U185&lt;&gt;"Dim",IF(U190&gt;32,MIN(U190,35)-32,0),0)</f>
        <v>0</v>
      </c>
      <c r="V191" s="66">
        <f>IF(V185&lt;&gt;"Dim",IF(SUM($U190:V190)&gt;32,MIN(SUM($U190:V190),35)-32-SUM($U191:U191),0),0)</f>
        <v>0</v>
      </c>
      <c r="W191" s="66">
        <f>IF(W185&lt;&gt;"Dim",IF(SUM($U190:W190)&gt;32,MIN(SUM($U190:W190),35)-32-SUM($U191:V191),0),0)</f>
        <v>0</v>
      </c>
      <c r="X191" s="66">
        <f>IF(X185&lt;&gt;"Dim",IF(SUM($U190:X190)&gt;32,MIN(SUM($U190:X190),35)-32-SUM($U191:W191),0),0)</f>
        <v>0</v>
      </c>
      <c r="Y191" s="66">
        <f>IF(Y185&lt;&gt;"Dim",IF(SUM($U190:Y190)&gt;32,MIN(SUM($U190:Y190),35)-32-SUM($U191:X191),0),0)</f>
        <v>0</v>
      </c>
      <c r="Z191" s="66">
        <f>IF(Z185&lt;&gt;"Dim",IF(SUM($U190:Z190)&gt;32,MIN(SUM($U190:Z190),35)-32-SUM($U191:Y191),0),0)</f>
        <v>0</v>
      </c>
      <c r="AA191" s="66">
        <f>IF(AA185&lt;&gt;"Dim",IF(SUM($U190:AA190)&gt;32,MIN(SUM($U190:AA190),35)-32-SUM($U191:Z191),0),0)</f>
        <v>0</v>
      </c>
      <c r="AB191" s="60">
        <f t="shared" si="315"/>
        <v>0</v>
      </c>
      <c r="AC191" s="60"/>
      <c r="AD191" s="66">
        <f>IF(AD185&lt;&gt;"Dim",IF(AD190&gt;32,MIN(AD190,35)-32,0),0)</f>
        <v>0</v>
      </c>
      <c r="AE191" s="66">
        <f>IF(AE185&lt;&gt;"Dim",IF(SUM($AD190:AE190)&gt;32,MIN(SUM($AD190:AE190),35)-32-SUM($AD191:AD191),0),0)</f>
        <v>0</v>
      </c>
      <c r="AF191" s="66">
        <f>IF(AF185&lt;&gt;"Dim",IF(SUM($AD190:AF190)&gt;32,MIN(SUM($AD190:AF190),35)-32-SUM($AD191:AE191),0),0)</f>
        <v>0</v>
      </c>
      <c r="AG191" s="66">
        <f>IF(AG185&lt;&gt;"Dim",IF(SUM($AD190:AG190)&gt;32,MIN(SUM($AD190:AG190),35)-32-SUM($AD191:AF191),0),0)</f>
        <v>0</v>
      </c>
      <c r="AH191" s="66">
        <f>IF(AH185&lt;&gt;"Dim",IF(SUM($AD190:AH190)&gt;32,MIN(SUM($AD190:AH190),35)-32-SUM($AD191:AG191),0),0)</f>
        <v>0</v>
      </c>
      <c r="AI191" s="66">
        <f>IF(AI185&lt;&gt;"Dim",IF(SUM($AD190:AI190)&gt;32,MIN(SUM($AD190:AI190),35)-32-SUM($AD191:AH191),0),0)</f>
        <v>0</v>
      </c>
      <c r="AJ191" s="66">
        <f>IF(AJ185&lt;&gt;"Dim",IF(SUM($AD190:AJ190)&gt;32,MIN(SUM($AD190:AJ190),35)-32-SUM($AD191:AI191),0),0)</f>
        <v>0</v>
      </c>
      <c r="AK191" s="60">
        <f t="shared" si="317"/>
        <v>0</v>
      </c>
      <c r="AL191" s="60"/>
      <c r="AM191" s="66">
        <f>IF(AM185&lt;&gt;"Dim",IF(AM190&gt;32,MIN(AM190,35)-32,0),0)</f>
        <v>0</v>
      </c>
      <c r="AN191" s="66">
        <f>IF(AN185&lt;&gt;"Dim",IF(SUM($AM190:AN190)&gt;32,MIN(SUM($AM190:AN190),35)-32-SUM($AM191:AM191),0),0)</f>
        <v>0</v>
      </c>
      <c r="AO191" s="66">
        <f>IF(AO185&lt;&gt;"Dim",IF(SUM($AM190:AO190)&gt;32,MIN(SUM($AM190:AO190),35)-32-SUM($AM191:AN191),0),0)</f>
        <v>0</v>
      </c>
      <c r="AP191" s="66">
        <f>IF(AP185&lt;&gt;"Dim",IF(SUM($AM190:AP190)&gt;32,MIN(SUM($AM190:AP190),35)-32-SUM($AM191:AO191),0),0)</f>
        <v>0</v>
      </c>
      <c r="AQ191" s="66">
        <f>IF(AQ185&lt;&gt;"Dim",IF(SUM($AM190:AQ190)&gt;32,MIN(SUM($AM190:AQ190),35)-32-SUM($AM191:AP191),0),0)</f>
        <v>0</v>
      </c>
      <c r="AR191" s="66">
        <f>IF(AR185&lt;&gt;"Dim",IF(SUM($AM190:AR190)&gt;32,MIN(SUM($AM190:AR190),35)-32-SUM($AM191:AQ191),0),0)</f>
        <v>0</v>
      </c>
      <c r="AS191" s="66">
        <f>IF(AS185&lt;&gt;"Dim",IF(SUM($AM190:AS190)&gt;32,MIN(SUM($AM190:AS190),35)-32-SUM($AM191:AR191),0),0)</f>
        <v>0</v>
      </c>
      <c r="AT191" s="60">
        <f t="shared" si="319"/>
        <v>0</v>
      </c>
      <c r="AU191" s="60"/>
      <c r="AV191" s="66">
        <f>IF(AV185&lt;&gt;"Dim",IF(AV190&gt;32,MIN(AV190,35)-32,0),0)</f>
        <v>0</v>
      </c>
      <c r="AW191" s="66">
        <f>IF(AW185&lt;&gt;"Dim",IF(SUM($AV190:AW190)&gt;32,MIN(SUM($AV190:AW190),35)-32-SUM($AV191:AV191),0),0)</f>
        <v>0</v>
      </c>
      <c r="AX191" s="60">
        <f t="shared" si="309"/>
        <v>0</v>
      </c>
      <c r="AY191" s="60">
        <f t="shared" si="321"/>
        <v>0</v>
      </c>
    </row>
    <row r="192" spans="1:58" x14ac:dyDescent="0.25">
      <c r="A192" s="21" t="s">
        <v>6</v>
      </c>
      <c r="B192" s="81"/>
      <c r="C192" s="66">
        <f>IF(C185&lt;&gt;"Dim",IF(C190&gt;35,(MIN(C190,43)-35),0),0)</f>
        <v>0</v>
      </c>
      <c r="D192" s="66">
        <f>IF(D185&lt;&gt;"Dim",IF(SUM($C190:D190)&gt;35,(MIN(SUM($C190:D190),43)-35-SUM($C192:C192)),0),0)</f>
        <v>0</v>
      </c>
      <c r="E192" s="66">
        <f>IF(E185&lt;&gt;"Dim",IF(SUM($C190:E190)&gt;35,(MIN(SUM($C190:E190),43)-35-SUM($C192:D192)),0),0)</f>
        <v>0</v>
      </c>
      <c r="F192" s="66">
        <f>IF(F185&lt;&gt;"Dim",IF(SUM($C190:F190)&gt;35,(MIN(SUM($C190:F190),43)-35-SUM($C192:E192)),0),0)</f>
        <v>0</v>
      </c>
      <c r="G192" s="66">
        <f>IF(G185&lt;&gt;"Dim",IF(SUM($C190:G190)&gt;35,(MIN(SUM($C190:G190),43)-35-SUM($C192:F192)),0),0)</f>
        <v>0</v>
      </c>
      <c r="H192" s="66">
        <f>IF(H185&lt;&gt;"Dim",IF(SUM($C190:H190)&gt;35,(MIN(SUM($C190:H190),43)-35-SUM($C192:G192)),0),0)</f>
        <v>0</v>
      </c>
      <c r="I192" s="66">
        <f>IF(I185&lt;&gt;"Dim",IF(SUM($C190:I190)&gt;35,(MIN(SUM($C190:I190),43)-35-SUM($C192:H192)),0),0)</f>
        <v>0</v>
      </c>
      <c r="J192" s="60">
        <f t="shared" si="311"/>
        <v>0</v>
      </c>
      <c r="K192" s="60"/>
      <c r="L192" s="66">
        <f>IF(L185&lt;&gt;"Dim",IF(L190&gt;35,(MIN(L190,43)-35),0),0)</f>
        <v>0</v>
      </c>
      <c r="M192" s="66">
        <f>IF(M185&lt;&gt;"Dim",IF(SUM($L190:M190)&gt;35,(MIN(SUM($L190:M190),43)-35-SUM($L192:L192)),0),0)</f>
        <v>0</v>
      </c>
      <c r="N192" s="66">
        <f>IF(N185&lt;&gt;"Dim",IF(SUM($L190:N190)&gt;35,(MIN(SUM($L190:N190),43)-35-SUM($L192:M192)),0),0)</f>
        <v>0</v>
      </c>
      <c r="O192" s="66">
        <f>IF(O185&lt;&gt;"Dim",IF(SUM($L190:O190)&gt;35,(MIN(SUM($L190:O190),43)-35-SUM($L192:N192)),0),0)</f>
        <v>0</v>
      </c>
      <c r="P192" s="66">
        <f>IF(P185&lt;&gt;"Dim",IF(SUM($L190:P190)&gt;35,(MIN(SUM($L190:P190),43)-35-SUM($L192:O192)),0),0)</f>
        <v>0</v>
      </c>
      <c r="Q192" s="66">
        <f>IF(Q185&lt;&gt;"Dim",IF(SUM($L190:Q190)&gt;35,(MIN(SUM($L190:Q190),43)-35-SUM($L192:P192)),0),0)</f>
        <v>0</v>
      </c>
      <c r="R192" s="66">
        <f>IF(R185&lt;&gt;"Dim",IF(SUM($L190:R190)&gt;35,(MIN(SUM($L190:R190),43)-35-SUM($L192:Q192)),0),0)</f>
        <v>0</v>
      </c>
      <c r="S192" s="60">
        <f t="shared" si="313"/>
        <v>0</v>
      </c>
      <c r="T192" s="60"/>
      <c r="U192" s="66">
        <f>IF(U185&lt;&gt;"Dim",IF(U190&gt;35,(MIN(U190,43)-35),0),0)</f>
        <v>0</v>
      </c>
      <c r="V192" s="66">
        <f>IF(V185&lt;&gt;"Dim",IF(SUM($U190:V190)&gt;35,(MIN(SUM($U190:V190),43)-35-SUM($U192:U192)),0),0)</f>
        <v>0</v>
      </c>
      <c r="W192" s="66">
        <f>IF(W185&lt;&gt;"Dim",IF(SUM($U190:W190)&gt;35,(MIN(SUM($U190:W190),43)-35-SUM($U192:V192)),0),0)</f>
        <v>0</v>
      </c>
      <c r="X192" s="66">
        <f>IF(X185&lt;&gt;"Dim",IF(SUM($U190:X190)&gt;35,(MIN(SUM($U190:X190),43)-35-SUM($U192:W192)),0),0)</f>
        <v>0</v>
      </c>
      <c r="Y192" s="66">
        <f>IF(Y185&lt;&gt;"Dim",IF(SUM($U190:Y190)&gt;35,(MIN(SUM($U190:Y190),43)-35-SUM($U192:X192)),0),0)</f>
        <v>0</v>
      </c>
      <c r="Z192" s="66">
        <f>IF(Z185&lt;&gt;"Dim",IF(SUM($U190:Z190)&gt;35,(MIN(SUM($U190:Z190),43)-35-SUM($U192:Y192)),0),0)</f>
        <v>0</v>
      </c>
      <c r="AA192" s="66">
        <f>IF(AA185&lt;&gt;"Dim",IF(SUM($U190:AA190)&gt;35,(MIN(SUM($U190:AA190),43)-35-SUM($U192:Z192)),0),0)</f>
        <v>0</v>
      </c>
      <c r="AB192" s="60">
        <f t="shared" si="315"/>
        <v>0</v>
      </c>
      <c r="AC192" s="60"/>
      <c r="AD192" s="66">
        <f>IF(AD185&lt;&gt;"Dim",IF(AD190&gt;35,(MIN(AD190,43)-35),0),0)</f>
        <v>0</v>
      </c>
      <c r="AE192" s="66">
        <f>IF(AE185&lt;&gt;"Dim",IF(SUM($AD190:AE190)&gt;35,(MIN(SUM($AD190:AE190),43)-35-SUM($AD192:AD192)),0),0)</f>
        <v>0</v>
      </c>
      <c r="AF192" s="66">
        <f>IF(AF185&lt;&gt;"Dim",IF(SUM($AD190:AF190)&gt;35,(MIN(SUM($AD190:AF190),43)-35-SUM($AD192:AE192)),0),0)</f>
        <v>0</v>
      </c>
      <c r="AG192" s="66">
        <f>IF(AG185&lt;&gt;"Dim",IF(SUM($AD190:AG190)&gt;35,(MIN(SUM($AD190:AG190),43)-35-SUM($AD192:AF192)),0),0)</f>
        <v>0</v>
      </c>
      <c r="AH192" s="66">
        <f>IF(AH185&lt;&gt;"Dim",IF(SUM($AD190:AH190)&gt;35,(MIN(SUM($AD190:AH190),43)-35-SUM($AD192:AG192)),0),0)</f>
        <v>0</v>
      </c>
      <c r="AI192" s="66">
        <f>IF(AI185&lt;&gt;"Dim",IF(SUM($AD190:AI190)&gt;35,(MIN(SUM($AD190:AI190),43)-35-SUM($AD192:AH192)),0),0)</f>
        <v>0</v>
      </c>
      <c r="AJ192" s="66">
        <f>IF(AJ185&lt;&gt;"Dim",IF(SUM($AD190:AJ190)&gt;35,(MIN(SUM($AD190:AJ190),43)-35-SUM($AD192:AI192)),0),0)</f>
        <v>0</v>
      </c>
      <c r="AK192" s="60">
        <f t="shared" si="317"/>
        <v>0</v>
      </c>
      <c r="AL192" s="60"/>
      <c r="AM192" s="66">
        <f>IF(AM185&lt;&gt;"Dim",IF(AM190&gt;35,(MIN(AM190,43)-35),0),0)</f>
        <v>0</v>
      </c>
      <c r="AN192" s="66">
        <f>IF(AN185&lt;&gt;"Dim",IF(SUM($AM190:AN190)&gt;35,(MIN(SUM($AM190:AN190),43)-35-SUM($AM192:AM192)),0),0)</f>
        <v>0</v>
      </c>
      <c r="AO192" s="66">
        <f>IF(AO185&lt;&gt;"Dim",IF(SUM($AM190:AO190)&gt;35,(MIN(SUM($AM190:AO190),43)-35-SUM($AM192:AN192)),0),0)</f>
        <v>0</v>
      </c>
      <c r="AP192" s="66">
        <f>IF(AP185&lt;&gt;"Dim",IF(SUM($AM190:AP190)&gt;35,(MIN(SUM($AM190:AP190),43)-35-SUM($AM192:AO192)),0),0)</f>
        <v>0</v>
      </c>
      <c r="AQ192" s="66">
        <f>IF(AQ185&lt;&gt;"Dim",IF(SUM($AM190:AQ190)&gt;35,(MIN(SUM($AM190:AQ190),43)-35-SUM($AM192:AP192)),0),0)</f>
        <v>0</v>
      </c>
      <c r="AR192" s="66">
        <f>IF(AR185&lt;&gt;"Dim",IF(SUM($AM190:AR190)&gt;35,(MIN(SUM($AM190:AR190),43)-35-SUM($AM192:AQ192)),0),0)</f>
        <v>0</v>
      </c>
      <c r="AS192" s="66">
        <f>IF(AS185&lt;&gt;"Dim",IF(SUM($AM190:AS190)&gt;35,(MIN(SUM($AM190:AS190),43)-35-SUM($AM192:AR192)),0),0)</f>
        <v>0</v>
      </c>
      <c r="AT192" s="60">
        <f t="shared" si="319"/>
        <v>0</v>
      </c>
      <c r="AU192" s="60"/>
      <c r="AV192" s="66">
        <f>IF(AV185&lt;&gt;"Dim",IF(AV190&gt;35,(MIN(AV190,43)-35),0),0)</f>
        <v>0</v>
      </c>
      <c r="AW192" s="66">
        <f>IF(AW185&lt;&gt;"Dim",IF(SUM($AV190:AW190)&gt;35,(MIN(SUM($AV190:AW190),43)-35-SUM($AV192:AV192)),0),0)</f>
        <v>0</v>
      </c>
      <c r="AX192" s="60">
        <f t="shared" si="309"/>
        <v>0</v>
      </c>
      <c r="AY192" s="60">
        <f t="shared" si="321"/>
        <v>0</v>
      </c>
    </row>
    <row r="193" spans="1:58" x14ac:dyDescent="0.25">
      <c r="A193" s="21" t="s">
        <v>5</v>
      </c>
      <c r="B193" s="81"/>
      <c r="C193" s="66">
        <f>IF(C185&lt;&gt;"Dim",IF(C190&gt;43,(MIN(C190,48)-43),0),0)</f>
        <v>0</v>
      </c>
      <c r="D193" s="66">
        <f>IF(D185&lt;&gt;"Dim",IF(SUM($C190:D190)&gt;43,(MIN(SUM($C190:D190),48)-43-SUM($C193:C193)),0),0)</f>
        <v>0</v>
      </c>
      <c r="E193" s="66">
        <f>IF(E185&lt;&gt;"Dim",IF(SUM($C190:E190)&gt;43,(MIN(SUM($C190:E190),48)-43-SUM($C193:D193)),0),0)</f>
        <v>0</v>
      </c>
      <c r="F193" s="66">
        <f>IF(F185&lt;&gt;"Dim",IF(SUM($C190:F190)&gt;43,(MIN(SUM($C190:F190),48)-43-SUM($C193:E193)),0),0)</f>
        <v>0</v>
      </c>
      <c r="G193" s="66">
        <f>IF(G185&lt;&gt;"Dim",IF(SUM($C190:G190)&gt;43,(MIN(SUM($C190:G190),48)-43-SUM($C193:F193)),0),0)</f>
        <v>0</v>
      </c>
      <c r="H193" s="66">
        <f>IF(H185&lt;&gt;"Dim",IF(SUM($C190:H190)&gt;43,(MIN(SUM($C190:H190),48)-43-SUM($C193:G193)),0),0)</f>
        <v>0</v>
      </c>
      <c r="I193" s="66">
        <f>IF(I185&lt;&gt;"Dim",IF(SUM($C190:I190)&gt;43,(MIN(SUM($C190:I190),48)-43-SUM($C193:H193)),0),0)</f>
        <v>0</v>
      </c>
      <c r="J193" s="60">
        <f t="shared" si="311"/>
        <v>0</v>
      </c>
      <c r="K193" s="60"/>
      <c r="L193" s="66">
        <f>IF(L185&lt;&gt;"Dim",IF(L190&gt;43,(MIN(L190,48)-43),0),0)</f>
        <v>0</v>
      </c>
      <c r="M193" s="66">
        <f>IF(M185&lt;&gt;"Dim",IF(SUM($L190:M190)&gt;43,(MIN(SUM($L190:M190),48)-43-SUM($L193:L193)),0),0)</f>
        <v>0</v>
      </c>
      <c r="N193" s="66">
        <f>IF(N185&lt;&gt;"Dim",IF(SUM($L190:N190)&gt;43,(MIN(SUM($L190:N190),48)-43-SUM($L193:M193)),0),0)</f>
        <v>0</v>
      </c>
      <c r="O193" s="66">
        <f>IF(O185&lt;&gt;"Dim",IF(SUM($L190:O190)&gt;43,(MIN(SUM($L190:O190),48)-43-SUM($L193:N193)),0),0)</f>
        <v>0</v>
      </c>
      <c r="P193" s="66">
        <f>IF(P185&lt;&gt;"Dim",IF(SUM($L190:P190)&gt;43,(MIN(SUM($L190:P190),48)-43-SUM($L193:O193)),0),0)</f>
        <v>0</v>
      </c>
      <c r="Q193" s="66">
        <f>IF(Q185&lt;&gt;"Dim",IF(SUM($L190:Q190)&gt;43,(MIN(SUM($L190:Q190),48)-43-SUM($L193:P193)),0),0)</f>
        <v>0</v>
      </c>
      <c r="R193" s="66">
        <f>IF(R185&lt;&gt;"Dim",IF(SUM($L190:R190)&gt;43,(MIN(SUM($L190:R190),48)-43-SUM($L193:Q193)),0),0)</f>
        <v>0</v>
      </c>
      <c r="S193" s="60">
        <f t="shared" si="313"/>
        <v>0</v>
      </c>
      <c r="T193" s="60"/>
      <c r="U193" s="66">
        <f>IF(U185&lt;&gt;"Dim",IF(U190&gt;43,(MIN(U190,48)-43),0),0)</f>
        <v>0</v>
      </c>
      <c r="V193" s="66">
        <f>IF(V185&lt;&gt;"Dim",IF(SUM($U190:V190)&gt;43,(MIN(SUM($U190:V190),48)-43-SUM($U193:U193)),0),0)</f>
        <v>0</v>
      </c>
      <c r="W193" s="66">
        <f>IF(W185&lt;&gt;"Dim",IF(SUM($U190:W190)&gt;43,(MIN(SUM($U190:W190),48)-43-SUM($U193:V193)),0),0)</f>
        <v>0</v>
      </c>
      <c r="X193" s="66">
        <f>IF(X185&lt;&gt;"Dim",IF(SUM($U190:X190)&gt;43,(MIN(SUM($U190:X190),48)-43-SUM($U193:W193)),0),0)</f>
        <v>0</v>
      </c>
      <c r="Y193" s="66">
        <f>IF(Y185&lt;&gt;"Dim",IF(SUM($U190:Y190)&gt;43,(MIN(SUM($U190:Y190),48)-43-SUM($U193:X193)),0),0)</f>
        <v>0</v>
      </c>
      <c r="Z193" s="66">
        <f>IF(Z185&lt;&gt;"Dim",IF(SUM($U190:Z190)&gt;43,(MIN(SUM($U190:Z190),48)-43-SUM($U193:Y193)),0),0)</f>
        <v>0</v>
      </c>
      <c r="AA193" s="66">
        <f>IF(AA185&lt;&gt;"Dim",IF(SUM($U190:AA190)&gt;43,(MIN(SUM($U190:AA190),48)-43-SUM($U193:Z193)),0),0)</f>
        <v>0</v>
      </c>
      <c r="AB193" s="60">
        <f t="shared" si="315"/>
        <v>0</v>
      </c>
      <c r="AC193" s="60"/>
      <c r="AD193" s="66">
        <f>IF(AD185&lt;&gt;"Dim",IF(AD190&gt;43,(MIN(AD190,48)-43),0),0)</f>
        <v>0</v>
      </c>
      <c r="AE193" s="66">
        <f>IF(AE185&lt;&gt;"Dim",IF(SUM($AD190:AE190)&gt;43,(MIN(SUM($AD190:AE190),48)-43-SUM($AD193:AD193)),0),0)</f>
        <v>0</v>
      </c>
      <c r="AF193" s="66">
        <f>IF(AF185&lt;&gt;"Dim",IF(SUM($AD190:AF190)&gt;43,(MIN(SUM($AD190:AF190),48)-43-SUM($AD193:AE193)),0),0)</f>
        <v>0</v>
      </c>
      <c r="AG193" s="66">
        <f>IF(AG185&lt;&gt;"Dim",IF(SUM($AD190:AG190)&gt;43,(MIN(SUM($AD190:AG190),48)-43-SUM($AD193:AF193)),0),0)</f>
        <v>0</v>
      </c>
      <c r="AH193" s="66">
        <f>IF(AH185&lt;&gt;"Dim",IF(SUM($AD190:AH190)&gt;43,(MIN(SUM($AD190:AH190),48)-43-SUM($AD193:AG193)),0),0)</f>
        <v>0</v>
      </c>
      <c r="AI193" s="66">
        <f>IF(AI185&lt;&gt;"Dim",IF(SUM($AD190:AI190)&gt;43,(MIN(SUM($AD190:AI190),48)-43-SUM($AD193:AH193)),0),0)</f>
        <v>0</v>
      </c>
      <c r="AJ193" s="66">
        <f>IF(AJ185&lt;&gt;"Dim",IF(SUM($AD190:AJ190)&gt;43,(MIN(SUM($AD190:AJ190),48)-43-SUM($AD193:AI193)),0),0)</f>
        <v>0</v>
      </c>
      <c r="AK193" s="60">
        <f t="shared" si="317"/>
        <v>0</v>
      </c>
      <c r="AL193" s="60"/>
      <c r="AM193" s="66">
        <f>IF(AM185&lt;&gt;"Dim",IF(AM190&gt;43,(MIN(AM190,48)-43),0),0)</f>
        <v>0</v>
      </c>
      <c r="AN193" s="66">
        <f>IF(AN185&lt;&gt;"Dim",IF(SUM($AM190:AN190)&gt;43,(MIN(SUM($AM190:AN190),48)-43-SUM($AM193:AM193)),0),0)</f>
        <v>0</v>
      </c>
      <c r="AO193" s="66">
        <f>IF(AO185&lt;&gt;"Dim",IF(SUM($AM190:AO190)&gt;43,(MIN(SUM($AM190:AO190),48)-43-SUM($AM193:AN193)),0),0)</f>
        <v>0</v>
      </c>
      <c r="AP193" s="66">
        <f>IF(AP185&lt;&gt;"Dim",IF(SUM($AM190:AP190)&gt;43,(MIN(SUM($AM190:AP190),48)-43-SUM($AM193:AO193)),0),0)</f>
        <v>0</v>
      </c>
      <c r="AQ193" s="66">
        <f>IF(AQ185&lt;&gt;"Dim",IF(SUM($AM190:AQ190)&gt;43,(MIN(SUM($AM190:AQ190),48)-43-SUM($AM193:AP193)),0),0)</f>
        <v>0</v>
      </c>
      <c r="AR193" s="66">
        <f>IF(AR185&lt;&gt;"Dim",IF(SUM($AM190:AR190)&gt;43,(MIN(SUM($AM190:AR190),48)-43-SUM($AM193:AQ193)),0),0)</f>
        <v>0</v>
      </c>
      <c r="AS193" s="66">
        <f>IF(AS185&lt;&gt;"Dim",IF(SUM($AM190:AS190)&gt;43,(MIN(SUM($AM190:AS190),48)-43-SUM($AM193:AR193)),0),0)</f>
        <v>0</v>
      </c>
      <c r="AT193" s="60">
        <f t="shared" si="319"/>
        <v>0</v>
      </c>
      <c r="AU193" s="60"/>
      <c r="AV193" s="66">
        <f>IF(AV185&lt;&gt;"Dim",IF(AV190&gt;43,(MIN(AV190,48)-43),0),0)</f>
        <v>0</v>
      </c>
      <c r="AW193" s="66">
        <f>IF(AW185&lt;&gt;"Dim",IF(SUM($AV190:AW190)&gt;43,(MIN(SUM($AV190:AW190),48)-43-SUM($AV193:AV193)),0),0)</f>
        <v>0</v>
      </c>
      <c r="AX193" s="60">
        <f t="shared" si="309"/>
        <v>0</v>
      </c>
      <c r="AY193" s="60">
        <f t="shared" si="321"/>
        <v>0</v>
      </c>
    </row>
    <row r="194" spans="1:58" x14ac:dyDescent="0.25">
      <c r="A194" s="21" t="s">
        <v>7</v>
      </c>
      <c r="B194" s="81"/>
      <c r="C194" s="66">
        <f>IF(C185="Dim",C190,IF(C200="ferie",C190,0))</f>
        <v>0</v>
      </c>
      <c r="D194" s="66">
        <f t="shared" ref="D194:I194" si="322">IF(D185="Dim",D190,IF(D200="ferie",D190,0))</f>
        <v>0</v>
      </c>
      <c r="E194" s="66">
        <f t="shared" si="322"/>
        <v>0</v>
      </c>
      <c r="F194" s="66">
        <f t="shared" si="322"/>
        <v>0</v>
      </c>
      <c r="G194" s="66">
        <f t="shared" si="322"/>
        <v>0</v>
      </c>
      <c r="H194" s="66">
        <f t="shared" si="322"/>
        <v>0</v>
      </c>
      <c r="I194" s="66">
        <f t="shared" si="322"/>
        <v>0</v>
      </c>
      <c r="J194" s="60">
        <f t="shared" si="311"/>
        <v>0</v>
      </c>
      <c r="K194" s="60"/>
      <c r="L194" s="66">
        <f>IF(L185="Dim",L190,IF(L200="ferie",L190,0))</f>
        <v>0</v>
      </c>
      <c r="M194" s="66">
        <f t="shared" ref="M194:R194" si="323">IF(M185="Dim",M190,IF(M200="ferie",M190,0))</f>
        <v>0</v>
      </c>
      <c r="N194" s="66">
        <f t="shared" si="323"/>
        <v>0</v>
      </c>
      <c r="O194" s="66">
        <f t="shared" si="323"/>
        <v>0</v>
      </c>
      <c r="P194" s="66">
        <f t="shared" si="323"/>
        <v>0</v>
      </c>
      <c r="Q194" s="66">
        <f>IF(Q185="Dim",Q190,IF(Q200="ferie",Q190,0))</f>
        <v>0</v>
      </c>
      <c r="R194" s="66">
        <f t="shared" si="323"/>
        <v>0</v>
      </c>
      <c r="S194" s="60">
        <f t="shared" si="313"/>
        <v>0</v>
      </c>
      <c r="T194" s="60"/>
      <c r="U194" s="66">
        <f>IF(U185="Dim",U190,IF(U200="ferie",U190,0))</f>
        <v>0</v>
      </c>
      <c r="V194" s="66">
        <f t="shared" ref="V194:AA194" si="324">IF(V185="Dim",V190,IF(V200="ferie",V190,0))</f>
        <v>0</v>
      </c>
      <c r="W194" s="66">
        <f t="shared" si="324"/>
        <v>0</v>
      </c>
      <c r="X194" s="66">
        <f t="shared" si="324"/>
        <v>0</v>
      </c>
      <c r="Y194" s="66">
        <f t="shared" si="324"/>
        <v>0</v>
      </c>
      <c r="Z194" s="66">
        <f t="shared" si="324"/>
        <v>0</v>
      </c>
      <c r="AA194" s="66">
        <f t="shared" si="324"/>
        <v>0</v>
      </c>
      <c r="AB194" s="60">
        <f t="shared" si="315"/>
        <v>0</v>
      </c>
      <c r="AC194" s="60"/>
      <c r="AD194" s="66">
        <f>IF(AD185="Dim",AD190,IF(AD200="ferie",AD190,0))</f>
        <v>0</v>
      </c>
      <c r="AE194" s="66">
        <f t="shared" ref="AE194:AJ194" si="325">IF(AE185="Dim",AE190,IF(AE200="ferie",AE190,0))</f>
        <v>0</v>
      </c>
      <c r="AF194" s="66">
        <f t="shared" si="325"/>
        <v>0</v>
      </c>
      <c r="AG194" s="66">
        <f t="shared" si="325"/>
        <v>0</v>
      </c>
      <c r="AH194" s="66">
        <f t="shared" si="325"/>
        <v>0</v>
      </c>
      <c r="AI194" s="66">
        <f t="shared" si="325"/>
        <v>0</v>
      </c>
      <c r="AJ194" s="66">
        <f t="shared" si="325"/>
        <v>0</v>
      </c>
      <c r="AK194" s="60">
        <f t="shared" si="317"/>
        <v>0</v>
      </c>
      <c r="AL194" s="60"/>
      <c r="AM194" s="66">
        <f>IF(AM185="Dim",AM190,IF(AM200="ferie",AM190,0))</f>
        <v>0</v>
      </c>
      <c r="AN194" s="66">
        <f t="shared" ref="AN194:AW194" si="326">IF(AN185="Dim",AN190,IF(AN200="ferie",AN190,0))</f>
        <v>0</v>
      </c>
      <c r="AO194" s="66">
        <f t="shared" si="326"/>
        <v>0</v>
      </c>
      <c r="AP194" s="66">
        <f t="shared" si="326"/>
        <v>0</v>
      </c>
      <c r="AQ194" s="66">
        <f t="shared" si="326"/>
        <v>0</v>
      </c>
      <c r="AR194" s="66">
        <f t="shared" si="326"/>
        <v>0</v>
      </c>
      <c r="AS194" s="66">
        <f t="shared" si="326"/>
        <v>0</v>
      </c>
      <c r="AT194" s="60">
        <f>SUM(AM194:AS194)</f>
        <v>0</v>
      </c>
      <c r="AU194" s="60"/>
      <c r="AV194" s="66">
        <f>IF(AV185="Dim",AV190,IF(AV200="ferie",AV190,0))</f>
        <v>0</v>
      </c>
      <c r="AW194" s="66">
        <f t="shared" si="326"/>
        <v>0</v>
      </c>
      <c r="AX194" s="60">
        <f t="shared" si="309"/>
        <v>0</v>
      </c>
      <c r="AY194" s="60">
        <f t="shared" si="321"/>
        <v>0</v>
      </c>
    </row>
    <row r="195" spans="1:58" x14ac:dyDescent="0.25">
      <c r="A195" s="21" t="s">
        <v>8</v>
      </c>
      <c r="B195" s="81"/>
      <c r="C195" s="31"/>
      <c r="D195" s="31"/>
      <c r="E195" s="31"/>
      <c r="F195" s="31"/>
      <c r="G195" s="31"/>
      <c r="H195" s="31"/>
      <c r="I195" s="31"/>
      <c r="J195" s="60">
        <f t="shared" si="311"/>
        <v>0</v>
      </c>
      <c r="K195" s="60"/>
      <c r="L195" s="31"/>
      <c r="M195" s="31"/>
      <c r="N195" s="31"/>
      <c r="O195" s="31"/>
      <c r="P195" s="31"/>
      <c r="Q195" s="31"/>
      <c r="R195" s="31"/>
      <c r="S195" s="60">
        <f t="shared" si="313"/>
        <v>0</v>
      </c>
      <c r="T195" s="60"/>
      <c r="U195" s="31"/>
      <c r="V195" s="31"/>
      <c r="W195" s="31"/>
      <c r="X195" s="31"/>
      <c r="Y195" s="31"/>
      <c r="Z195" s="31"/>
      <c r="AA195" s="31"/>
      <c r="AB195" s="60">
        <f t="shared" si="315"/>
        <v>0</v>
      </c>
      <c r="AC195" s="60"/>
      <c r="AD195" s="31"/>
      <c r="AE195" s="31"/>
      <c r="AF195" s="31"/>
      <c r="AG195" s="31"/>
      <c r="AH195" s="31"/>
      <c r="AI195" s="31"/>
      <c r="AJ195" s="31"/>
      <c r="AK195" s="60">
        <f t="shared" si="317"/>
        <v>0</v>
      </c>
      <c r="AL195" s="60"/>
      <c r="AM195" s="31"/>
      <c r="AN195" s="31"/>
      <c r="AO195" s="31"/>
      <c r="AP195" s="31"/>
      <c r="AQ195" s="31"/>
      <c r="AR195" s="31"/>
      <c r="AS195" s="31"/>
      <c r="AT195" s="60">
        <f t="shared" si="319"/>
        <v>0</v>
      </c>
      <c r="AU195" s="60"/>
      <c r="AV195" s="31"/>
      <c r="AW195" s="31"/>
      <c r="AX195" s="60">
        <f t="shared" si="309"/>
        <v>0</v>
      </c>
      <c r="AY195" s="60">
        <f t="shared" si="321"/>
        <v>0</v>
      </c>
    </row>
    <row r="196" spans="1:58" x14ac:dyDescent="0.25">
      <c r="A196" s="36" t="s">
        <v>9</v>
      </c>
      <c r="B196" s="82"/>
      <c r="C196" s="31"/>
      <c r="D196" s="31"/>
      <c r="E196" s="31"/>
      <c r="F196" s="31"/>
      <c r="G196" s="31"/>
      <c r="H196" s="31"/>
      <c r="I196" s="31"/>
      <c r="J196" s="60">
        <f t="shared" si="311"/>
        <v>0</v>
      </c>
      <c r="K196" s="60"/>
      <c r="L196" s="31"/>
      <c r="M196" s="31"/>
      <c r="N196" s="31"/>
      <c r="O196" s="31"/>
      <c r="P196" s="31"/>
      <c r="Q196" s="31"/>
      <c r="R196" s="31"/>
      <c r="S196" s="60">
        <f t="shared" si="313"/>
        <v>0</v>
      </c>
      <c r="T196" s="60"/>
      <c r="U196" s="31"/>
      <c r="V196" s="31"/>
      <c r="W196" s="31"/>
      <c r="X196" s="31"/>
      <c r="Y196" s="31"/>
      <c r="Z196" s="31"/>
      <c r="AA196" s="31"/>
      <c r="AB196" s="60">
        <f t="shared" si="315"/>
        <v>0</v>
      </c>
      <c r="AC196" s="60"/>
      <c r="AD196" s="31"/>
      <c r="AE196" s="31"/>
      <c r="AF196" s="31"/>
      <c r="AG196" s="31"/>
      <c r="AH196" s="31"/>
      <c r="AI196" s="31"/>
      <c r="AJ196" s="31"/>
      <c r="AK196" s="60">
        <f t="shared" si="317"/>
        <v>0</v>
      </c>
      <c r="AL196" s="60"/>
      <c r="AM196" s="31"/>
      <c r="AN196" s="31"/>
      <c r="AO196" s="31"/>
      <c r="AP196" s="31"/>
      <c r="AQ196" s="31"/>
      <c r="AR196" s="31"/>
      <c r="AS196" s="31"/>
      <c r="AT196" s="60">
        <f t="shared" si="319"/>
        <v>0</v>
      </c>
      <c r="AU196" s="60"/>
      <c r="AV196" s="31"/>
      <c r="AW196" s="31"/>
      <c r="AX196" s="60">
        <f t="shared" ref="AX196:AX198" si="327">SUM(AV196:AW196)</f>
        <v>0</v>
      </c>
      <c r="AY196" s="60">
        <f t="shared" si="321"/>
        <v>0</v>
      </c>
    </row>
    <row r="197" spans="1:58" x14ac:dyDescent="0.25">
      <c r="A197" s="21" t="s">
        <v>11</v>
      </c>
      <c r="B197" s="81"/>
      <c r="C197" s="31"/>
      <c r="D197" s="31"/>
      <c r="E197" s="31"/>
      <c r="F197" s="31"/>
      <c r="G197" s="31"/>
      <c r="H197" s="31"/>
      <c r="I197" s="31"/>
      <c r="J197" s="60">
        <f t="shared" si="311"/>
        <v>0</v>
      </c>
      <c r="K197" s="60"/>
      <c r="L197" s="31"/>
      <c r="M197" s="31"/>
      <c r="N197" s="31"/>
      <c r="O197" s="31"/>
      <c r="P197" s="31"/>
      <c r="Q197" s="31"/>
      <c r="R197" s="31"/>
      <c r="S197" s="60">
        <f t="shared" si="313"/>
        <v>0</v>
      </c>
      <c r="T197" s="60"/>
      <c r="U197" s="31"/>
      <c r="V197" s="31"/>
      <c r="W197" s="31"/>
      <c r="X197" s="31"/>
      <c r="Y197" s="31"/>
      <c r="Z197" s="31"/>
      <c r="AA197" s="31"/>
      <c r="AB197" s="60">
        <f t="shared" si="315"/>
        <v>0</v>
      </c>
      <c r="AC197" s="60"/>
      <c r="AD197" s="31"/>
      <c r="AE197" s="31"/>
      <c r="AF197" s="31"/>
      <c r="AG197" s="31"/>
      <c r="AH197" s="31"/>
      <c r="AI197" s="31"/>
      <c r="AJ197" s="31"/>
      <c r="AK197" s="60">
        <f t="shared" si="317"/>
        <v>0</v>
      </c>
      <c r="AL197" s="60"/>
      <c r="AM197" s="31"/>
      <c r="AN197" s="31"/>
      <c r="AO197" s="31"/>
      <c r="AP197" s="31"/>
      <c r="AQ197" s="31"/>
      <c r="AR197" s="31"/>
      <c r="AS197" s="31"/>
      <c r="AT197" s="60">
        <f t="shared" si="319"/>
        <v>0</v>
      </c>
      <c r="AU197" s="60"/>
      <c r="AV197" s="31"/>
      <c r="AW197" s="31"/>
      <c r="AX197" s="60">
        <f t="shared" si="327"/>
        <v>0</v>
      </c>
      <c r="AY197" s="60">
        <f t="shared" si="321"/>
        <v>0</v>
      </c>
    </row>
    <row r="198" spans="1:58" x14ac:dyDescent="0.25">
      <c r="A198" s="36" t="s">
        <v>10</v>
      </c>
      <c r="B198" s="82"/>
      <c r="C198" s="31"/>
      <c r="D198" s="31"/>
      <c r="E198" s="31"/>
      <c r="F198" s="31"/>
      <c r="G198" s="31"/>
      <c r="H198" s="31"/>
      <c r="I198" s="31"/>
      <c r="J198" s="60">
        <f t="shared" si="311"/>
        <v>0</v>
      </c>
      <c r="K198" s="60"/>
      <c r="L198" s="31"/>
      <c r="M198" s="31"/>
      <c r="N198" s="31"/>
      <c r="O198" s="31"/>
      <c r="P198" s="31"/>
      <c r="Q198" s="31"/>
      <c r="R198" s="31"/>
      <c r="S198" s="60">
        <f t="shared" si="313"/>
        <v>0</v>
      </c>
      <c r="T198" s="60"/>
      <c r="U198" s="31"/>
      <c r="V198" s="31"/>
      <c r="W198" s="31"/>
      <c r="X198" s="31"/>
      <c r="Y198" s="31"/>
      <c r="Z198" s="31"/>
      <c r="AA198" s="31"/>
      <c r="AB198" s="60">
        <f t="shared" si="315"/>
        <v>0</v>
      </c>
      <c r="AC198" s="60"/>
      <c r="AD198" s="31"/>
      <c r="AE198" s="31"/>
      <c r="AF198" s="31"/>
      <c r="AG198" s="31"/>
      <c r="AH198" s="31"/>
      <c r="AI198" s="31"/>
      <c r="AJ198" s="31"/>
      <c r="AK198" s="60">
        <f t="shared" si="317"/>
        <v>0</v>
      </c>
      <c r="AL198" s="60"/>
      <c r="AM198" s="31"/>
      <c r="AN198" s="31"/>
      <c r="AO198" s="31"/>
      <c r="AP198" s="31"/>
      <c r="AQ198" s="31"/>
      <c r="AR198" s="31"/>
      <c r="AS198" s="31"/>
      <c r="AT198" s="60">
        <f t="shared" si="319"/>
        <v>0</v>
      </c>
      <c r="AU198" s="60"/>
      <c r="AV198" s="31"/>
      <c r="AW198" s="31"/>
      <c r="AX198" s="60">
        <f t="shared" si="327"/>
        <v>0</v>
      </c>
      <c r="AY198" s="60">
        <f t="shared" si="321"/>
        <v>0</v>
      </c>
    </row>
    <row r="199" spans="1:58" s="33" customFormat="1" ht="15" customHeight="1" x14ac:dyDescent="0.25">
      <c r="A199" s="36" t="s">
        <v>44</v>
      </c>
      <c r="B199" s="82"/>
      <c r="C199" s="60">
        <f>IF(C187="nuit",C190*0.02,0)</f>
        <v>0</v>
      </c>
      <c r="D199" s="60">
        <f>IF(D187="nuit",D190*0.02,0)</f>
        <v>0</v>
      </c>
      <c r="E199" s="60">
        <f t="shared" ref="E199:I199" si="328">IF(E187="nuit",E190*0.02,0)</f>
        <v>0</v>
      </c>
      <c r="F199" s="60">
        <f t="shared" si="328"/>
        <v>0</v>
      </c>
      <c r="G199" s="60">
        <f>IF(G187="nuit",G190*0.02,0)</f>
        <v>0</v>
      </c>
      <c r="H199" s="60">
        <f t="shared" si="328"/>
        <v>0</v>
      </c>
      <c r="I199" s="60">
        <f t="shared" si="328"/>
        <v>0</v>
      </c>
      <c r="J199" s="60">
        <f t="shared" si="311"/>
        <v>0</v>
      </c>
      <c r="K199" s="60"/>
      <c r="L199" s="60">
        <f>IF(L187="nuit",L190*0.02,0)</f>
        <v>0</v>
      </c>
      <c r="M199" s="60">
        <f>IF(M187="nuit",M190*0.02,0)</f>
        <v>0</v>
      </c>
      <c r="N199" s="60">
        <f t="shared" ref="N199:R199" si="329">IF(N187="nuit",N190*0.02,0)</f>
        <v>0</v>
      </c>
      <c r="O199" s="60">
        <f t="shared" si="329"/>
        <v>0</v>
      </c>
      <c r="P199" s="60">
        <f>IF(P187="nuit",P190*0.02,0)</f>
        <v>0</v>
      </c>
      <c r="Q199" s="60">
        <f t="shared" si="329"/>
        <v>0</v>
      </c>
      <c r="R199" s="60">
        <f t="shared" si="329"/>
        <v>0</v>
      </c>
      <c r="S199" s="60">
        <f t="shared" si="313"/>
        <v>0</v>
      </c>
      <c r="T199" s="60"/>
      <c r="U199" s="60">
        <f>IF(U187="nuit",U190*0.02,0)</f>
        <v>0</v>
      </c>
      <c r="V199" s="60">
        <f>IF(V187="nuit",V190*0.02,0)</f>
        <v>0</v>
      </c>
      <c r="W199" s="60">
        <f t="shared" ref="W199:AA199" si="330">IF(W187="nuit",W190*0.02,0)</f>
        <v>0</v>
      </c>
      <c r="X199" s="60">
        <f t="shared" si="330"/>
        <v>0</v>
      </c>
      <c r="Y199" s="60">
        <f>IF(Y187="nuit",Y190*0.02,0)</f>
        <v>0</v>
      </c>
      <c r="Z199" s="60">
        <f t="shared" si="330"/>
        <v>0</v>
      </c>
      <c r="AA199" s="60">
        <f t="shared" si="330"/>
        <v>0</v>
      </c>
      <c r="AB199" s="60">
        <f t="shared" si="315"/>
        <v>0</v>
      </c>
      <c r="AC199" s="60"/>
      <c r="AD199" s="60">
        <f>IF(AD187="nuit",AD190*0.02,0)</f>
        <v>0</v>
      </c>
      <c r="AE199" s="60">
        <f>IF(AE187="nuit",AE190*0.02,0)</f>
        <v>0</v>
      </c>
      <c r="AF199" s="60">
        <f t="shared" ref="AF199:AJ199" si="331">IF(AF187="nuit",AF190*0.02,0)</f>
        <v>0</v>
      </c>
      <c r="AG199" s="60">
        <f t="shared" si="331"/>
        <v>0</v>
      </c>
      <c r="AH199" s="60">
        <f>IF(AH187="nuit",AH190*0.02,0)</f>
        <v>0</v>
      </c>
      <c r="AI199" s="60">
        <f t="shared" si="331"/>
        <v>0</v>
      </c>
      <c r="AJ199" s="60">
        <f t="shared" si="331"/>
        <v>0</v>
      </c>
      <c r="AK199" s="60">
        <f t="shared" si="317"/>
        <v>0</v>
      </c>
      <c r="AL199" s="60"/>
      <c r="AM199" s="60">
        <f>IF(AM187="nuit",AM190*0.02,0)</f>
        <v>0</v>
      </c>
      <c r="AN199" s="60">
        <f>IF(AN187="nuit",AN190*0.02,0)</f>
        <v>0</v>
      </c>
      <c r="AO199" s="60">
        <f t="shared" ref="AO199:AS199" si="332">IF(AO187="nuit",AO190*0.02,0)</f>
        <v>0</v>
      </c>
      <c r="AP199" s="60">
        <f t="shared" si="332"/>
        <v>0</v>
      </c>
      <c r="AQ199" s="60">
        <f>IF(AQ187="nuit",AQ190*0.02,0)</f>
        <v>0</v>
      </c>
      <c r="AR199" s="60">
        <f t="shared" si="332"/>
        <v>0</v>
      </c>
      <c r="AS199" s="60">
        <f t="shared" si="332"/>
        <v>0</v>
      </c>
      <c r="AT199" s="60">
        <f t="shared" si="319"/>
        <v>0</v>
      </c>
      <c r="AU199" s="60"/>
      <c r="AV199" s="60">
        <f>IF(AV187="nuit",AV190*0.02,0)</f>
        <v>0</v>
      </c>
      <c r="AW199" s="60">
        <f>IF(AW187="nuit",AW190*0.02,0)</f>
        <v>0</v>
      </c>
      <c r="AX199" s="60">
        <f>SUM(AV199:AW199)</f>
        <v>0</v>
      </c>
      <c r="AY199" s="60">
        <f>J199+S199+AB199+AK199+AT199+AX199</f>
        <v>0</v>
      </c>
      <c r="AZ199" s="52"/>
      <c r="BA199" s="52"/>
      <c r="BB199" s="52"/>
      <c r="BC199" s="52"/>
      <c r="BD199" s="52"/>
      <c r="BE199" s="52"/>
      <c r="BF199" s="35"/>
    </row>
    <row r="200" spans="1:58" ht="14.25" customHeight="1" x14ac:dyDescent="0.25">
      <c r="A200" s="21" t="s">
        <v>31</v>
      </c>
      <c r="B200" s="81"/>
      <c r="C200" s="31"/>
      <c r="D200" s="31"/>
      <c r="E200" s="31"/>
      <c r="F200" s="31"/>
      <c r="G200" s="31"/>
      <c r="H200" s="37"/>
      <c r="I200" s="37"/>
      <c r="J200" s="64"/>
      <c r="K200" s="64"/>
      <c r="L200" s="37"/>
      <c r="M200" s="37"/>
      <c r="N200" s="37"/>
      <c r="O200" s="37"/>
      <c r="P200" s="37"/>
      <c r="Q200" s="37"/>
      <c r="R200" s="37"/>
      <c r="S200" s="64"/>
      <c r="T200" s="64"/>
      <c r="U200" s="37"/>
      <c r="V200" s="37"/>
      <c r="W200" s="37"/>
      <c r="X200" s="37"/>
      <c r="Y200" s="37"/>
      <c r="Z200" s="37"/>
      <c r="AA200" s="37"/>
      <c r="AB200" s="64"/>
      <c r="AC200" s="64"/>
      <c r="AD200" s="37"/>
      <c r="AE200" s="37"/>
      <c r="AF200" s="37"/>
      <c r="AG200" s="37"/>
      <c r="AH200" s="37"/>
      <c r="AI200" s="37"/>
      <c r="AJ200" s="37"/>
      <c r="AK200" s="64"/>
      <c r="AL200" s="64"/>
      <c r="AM200" s="37"/>
      <c r="AN200" s="37"/>
      <c r="AO200" s="37"/>
      <c r="AP200" s="37"/>
      <c r="AQ200" s="37"/>
      <c r="AR200" s="37"/>
      <c r="AS200" s="37"/>
      <c r="AT200" s="64"/>
      <c r="AU200" s="64"/>
      <c r="AV200" s="37"/>
      <c r="AW200" s="37"/>
      <c r="AX200" s="64"/>
      <c r="AY200" s="65"/>
    </row>
    <row r="201" spans="1:58" x14ac:dyDescent="0.25">
      <c r="A201" s="38"/>
      <c r="B201" s="38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69"/>
    </row>
    <row r="202" spans="1:58" ht="27.6" x14ac:dyDescent="0.25">
      <c r="A202" s="21"/>
      <c r="B202" s="21"/>
      <c r="C202" s="24" t="s">
        <v>30</v>
      </c>
      <c r="D202" s="24"/>
      <c r="E202" s="24"/>
      <c r="F202" s="24"/>
      <c r="G202" s="24"/>
      <c r="H202" s="95">
        <f>Année_Calendaire</f>
        <v>2016</v>
      </c>
      <c r="I202" s="95"/>
      <c r="J202" s="88"/>
      <c r="K202" s="88"/>
      <c r="L202" s="31"/>
      <c r="M202" s="31"/>
      <c r="N202" s="31"/>
      <c r="O202" s="31"/>
      <c r="P202" s="31"/>
      <c r="Q202" s="31"/>
      <c r="R202" s="31"/>
      <c r="S202" s="88"/>
      <c r="T202" s="88"/>
      <c r="U202" s="24" t="s">
        <v>30</v>
      </c>
      <c r="V202" s="24"/>
      <c r="W202" s="24"/>
      <c r="X202" s="24"/>
      <c r="Y202" s="24"/>
      <c r="Z202" s="95">
        <f>Année_Calendaire</f>
        <v>2016</v>
      </c>
      <c r="AA202" s="95"/>
      <c r="AB202" s="88"/>
      <c r="AC202" s="88"/>
      <c r="AD202" s="31"/>
      <c r="AE202" s="31"/>
      <c r="AF202" s="31"/>
      <c r="AG202" s="31"/>
      <c r="AH202" s="31"/>
      <c r="AI202" s="31"/>
      <c r="AJ202" s="31"/>
      <c r="AK202" s="88"/>
      <c r="AL202" s="88"/>
      <c r="AM202" s="24" t="s">
        <v>30</v>
      </c>
      <c r="AN202" s="24"/>
      <c r="AO202" s="24"/>
      <c r="AP202" s="24"/>
      <c r="AQ202" s="24"/>
      <c r="AR202" s="95">
        <f>Année_Calendaire</f>
        <v>2016</v>
      </c>
      <c r="AS202" s="95"/>
      <c r="AT202" s="88"/>
      <c r="AU202" s="88"/>
      <c r="AV202" s="31"/>
      <c r="AW202" s="31"/>
      <c r="AX202" s="88"/>
    </row>
    <row r="203" spans="1:58" ht="29.25" customHeight="1" x14ac:dyDescent="0.25">
      <c r="A203" s="31"/>
      <c r="B203" s="60"/>
      <c r="C203" s="62" t="s">
        <v>13</v>
      </c>
      <c r="D203" s="62" t="s">
        <v>14</v>
      </c>
      <c r="E203" s="62" t="s">
        <v>15</v>
      </c>
      <c r="F203" s="62" t="s">
        <v>16</v>
      </c>
      <c r="G203" s="62" t="s">
        <v>17</v>
      </c>
      <c r="H203" s="62" t="s">
        <v>18</v>
      </c>
      <c r="I203" s="62" t="s">
        <v>19</v>
      </c>
      <c r="J203" s="96" t="s">
        <v>32</v>
      </c>
      <c r="K203" s="87"/>
      <c r="L203" s="62" t="s">
        <v>13</v>
      </c>
      <c r="M203" s="62" t="s">
        <v>14</v>
      </c>
      <c r="N203" s="62" t="s">
        <v>15</v>
      </c>
      <c r="O203" s="62" t="s">
        <v>16</v>
      </c>
      <c r="P203" s="62" t="s">
        <v>17</v>
      </c>
      <c r="Q203" s="62" t="s">
        <v>18</v>
      </c>
      <c r="R203" s="62" t="s">
        <v>19</v>
      </c>
      <c r="S203" s="96" t="s">
        <v>32</v>
      </c>
      <c r="T203" s="87"/>
      <c r="U203" s="62" t="s">
        <v>13</v>
      </c>
      <c r="V203" s="62" t="s">
        <v>14</v>
      </c>
      <c r="W203" s="62" t="s">
        <v>15</v>
      </c>
      <c r="X203" s="62" t="s">
        <v>16</v>
      </c>
      <c r="Y203" s="62" t="s">
        <v>17</v>
      </c>
      <c r="Z203" s="62" t="s">
        <v>18</v>
      </c>
      <c r="AA203" s="62" t="s">
        <v>19</v>
      </c>
      <c r="AB203" s="96" t="s">
        <v>32</v>
      </c>
      <c r="AC203" s="87"/>
      <c r="AD203" s="62" t="s">
        <v>13</v>
      </c>
      <c r="AE203" s="62" t="s">
        <v>14</v>
      </c>
      <c r="AF203" s="62" t="s">
        <v>15</v>
      </c>
      <c r="AG203" s="62" t="s">
        <v>16</v>
      </c>
      <c r="AH203" s="62" t="s">
        <v>17</v>
      </c>
      <c r="AI203" s="62" t="s">
        <v>18</v>
      </c>
      <c r="AJ203" s="62" t="s">
        <v>19</v>
      </c>
      <c r="AK203" s="96" t="s">
        <v>32</v>
      </c>
      <c r="AL203" s="87"/>
      <c r="AM203" s="62" t="s">
        <v>13</v>
      </c>
      <c r="AN203" s="62" t="s">
        <v>14</v>
      </c>
      <c r="AO203" s="62" t="s">
        <v>15</v>
      </c>
      <c r="AP203" s="62" t="s">
        <v>16</v>
      </c>
      <c r="AQ203" s="62" t="s">
        <v>17</v>
      </c>
      <c r="AR203" s="62" t="s">
        <v>18</v>
      </c>
      <c r="AS203" s="62" t="s">
        <v>19</v>
      </c>
      <c r="AT203" s="96" t="s">
        <v>32</v>
      </c>
      <c r="AU203" s="87"/>
      <c r="AV203" s="62" t="s">
        <v>13</v>
      </c>
      <c r="AW203" s="62" t="s">
        <v>14</v>
      </c>
      <c r="AX203" s="96" t="s">
        <v>32</v>
      </c>
      <c r="AY203" s="96" t="s">
        <v>35</v>
      </c>
      <c r="AZ203" s="97">
        <f>AY210+AY211+AY212</f>
        <v>0</v>
      </c>
      <c r="BA203" s="97">
        <f>AZ203+BA185</f>
        <v>15</v>
      </c>
    </row>
    <row r="204" spans="1:58" x14ac:dyDescent="0.25">
      <c r="A204" s="45"/>
      <c r="B204" s="84"/>
      <c r="C204" s="67" t="str">
        <f>IF(DAY(Déc_Dim1)=1,"",IF(AND(YEAR(Déc_Dim1+1)=Année_Calendaire,MONTH(Déc_Dim1+1)=12),Déc_Dim1+1,""))</f>
        <v/>
      </c>
      <c r="D204" s="67" t="str">
        <f>IF(DAY(Déc_Dim1)=1,"",IF(AND(YEAR(Déc_Dim1+2)=Année_Calendaire,MONTH(Déc_Dim1+2)=12),Déc_Dim1+2,""))</f>
        <v/>
      </c>
      <c r="E204" s="67" t="str">
        <f>IF(DAY(Déc_Dim1)=1,"",IF(AND(YEAR(Déc_Dim1+3)=Année_Calendaire,MONTH(Déc_Dim1+3)=12),Déc_Dim1+3,""))</f>
        <v/>
      </c>
      <c r="F204" s="67">
        <f>IF(DAY(Déc_Dim1)=1,"",IF(AND(YEAR(Déc_Dim1+4)=Année_Calendaire,MONTH(Déc_Dim1+4)=12),Déc_Dim1+4,""))</f>
        <v>42705</v>
      </c>
      <c r="G204" s="67">
        <f>IF(DAY(Déc_Dim1)=1,"",IF(AND(YEAR(Déc_Dim1+5)=Année_Calendaire,MONTH(Déc_Dim1+5)=12),Déc_Dim1+5,""))</f>
        <v>42706</v>
      </c>
      <c r="H204" s="67">
        <f>IF(DAY(Déc_Dim1)=1,"",IF(AND(YEAR(Déc_Dim1+6)=Année_Calendaire,MONTH(Déc_Dim1+6)=12),Déc_Dim1+6,""))</f>
        <v>42707</v>
      </c>
      <c r="I204" s="67">
        <f>IF(DAY(Déc_Dim1)=1,IF(AND(YEAR(Déc_Dim1)=Année_Calendaire,MONTH(Déc_Dim1)=12),Déc_Dim1,""),IF(AND(YEAR(Déc_Dim1+7)=Année_Calendaire,MONTH(Déc_Dim1+7)=12),Déc_Dim1+7,""))</f>
        <v>42708</v>
      </c>
      <c r="J204" s="96"/>
      <c r="K204" s="87"/>
      <c r="L204" s="67">
        <f>IF(DAY(Déc_Dim1)=1,IF(AND(YEAR(Déc_Dim1+1)=Année_Calendaire,MONTH(Déc_Dim1+1)=12),Déc_Dim1+1,""),IF(AND(YEAR(Déc_Dim1+8)=Année_Calendaire,MONTH(Déc_Dim1+8)=12),Déc_Dim1+8,""))</f>
        <v>42709</v>
      </c>
      <c r="M204" s="67">
        <f>IF(DAY(Déc_Dim1)=1,IF(AND(YEAR(Déc_Dim1+2)=Année_Calendaire,MONTH(Déc_Dim1+2)=12),Déc_Dim1+2,""),IF(AND(YEAR(Déc_Dim1+9)=Année_Calendaire,MONTH(Déc_Dim1+9)=12),Déc_Dim1+9,""))</f>
        <v>42710</v>
      </c>
      <c r="N204" s="67">
        <f>IF(DAY(Déc_Dim1)=1,IF(AND(YEAR(Déc_Dim1+3)=Année_Calendaire,MONTH(Déc_Dim1+3)=12),Déc_Dim1+3,""),IF(AND(YEAR(Déc_Dim1+10)=Année_Calendaire,MONTH(Déc_Dim1+10)=12),Déc_Dim1+10,""))</f>
        <v>42711</v>
      </c>
      <c r="O204" s="67">
        <f>IF(DAY(Déc_Dim1)=1,IF(AND(YEAR(Déc_Dim1+4)=Année_Calendaire,MONTH(Déc_Dim1+4)=12),Déc_Dim1+4,""),IF(AND(YEAR(Déc_Dim1+11)=Année_Calendaire,MONTH(Déc_Dim1+11)=12),Déc_Dim1+11,""))</f>
        <v>42712</v>
      </c>
      <c r="P204" s="67">
        <f>IF(DAY(Déc_Dim1)=1,IF(AND(YEAR(Déc_Dim1+5)=Année_Calendaire,MONTH(Déc_Dim1+5)=12),Déc_Dim1+5,""),IF(AND(YEAR(Déc_Dim1+12)=Année_Calendaire,MONTH(Déc_Dim1+12)=12),Déc_Dim1+12,""))</f>
        <v>42713</v>
      </c>
      <c r="Q204" s="67">
        <f>IF(DAY(Déc_Dim1)=1,IF(AND(YEAR(Déc_Dim1+6)=Année_Calendaire,MONTH(Déc_Dim1+6)=12),Déc_Dim1+6,""),IF(AND(YEAR(Déc_Dim1+13)=Année_Calendaire,MONTH(Déc_Dim1+13)=12),Déc_Dim1+13,""))</f>
        <v>42714</v>
      </c>
      <c r="R204" s="67">
        <f>IF(DAY(Déc_Dim1)=1,IF(AND(YEAR(Déc_Dim1+7)=Année_Calendaire,MONTH(Déc_Dim1+7)=12),Déc_Dim1+7,""),IF(AND(YEAR(Déc_Dim1+14)=Année_Calendaire,MONTH(Déc_Dim1+14)=12),Déc_Dim1+14,""))</f>
        <v>42715</v>
      </c>
      <c r="S204" s="96"/>
      <c r="T204" s="87"/>
      <c r="U204" s="67">
        <f>IF(DAY(Déc_Dim1)=1,IF(AND(YEAR(Déc_Dim1+8)=Année_Calendaire,MONTH(Déc_Dim1+8)=12),Déc_Dim1+8,""),IF(AND(YEAR(Déc_Dim1+15)=Année_Calendaire,MONTH(Déc_Dim1+15)=12),Déc_Dim1+15,""))</f>
        <v>42716</v>
      </c>
      <c r="V204" s="67">
        <f>IF(DAY(Déc_Dim1)=1,IF(AND(YEAR(Déc_Dim1+9)=Année_Calendaire,MONTH(Déc_Dim1+9)=12),Déc_Dim1+9,""),IF(AND(YEAR(Déc_Dim1+16)=Année_Calendaire,MONTH(Déc_Dim1+16)=12),Déc_Dim1+16,""))</f>
        <v>42717</v>
      </c>
      <c r="W204" s="67">
        <f>IF(DAY(Déc_Dim1)=1,IF(AND(YEAR(Déc_Dim1+10)=Année_Calendaire,MONTH(Déc_Dim1+10)=12),Déc_Dim1+10,""),IF(AND(YEAR(Déc_Dim1+17)=Année_Calendaire,MONTH(Déc_Dim1+17)=12),Déc_Dim1+17,""))</f>
        <v>42718</v>
      </c>
      <c r="X204" s="67">
        <f>IF(DAY(Déc_Dim1)=1,IF(AND(YEAR(Déc_Dim1+11)=Année_Calendaire,MONTH(Déc_Dim1+11)=12),Déc_Dim1+11,""),IF(AND(YEAR(Déc_Dim1+18)=Année_Calendaire,MONTH(Déc_Dim1+18)=12),Déc_Dim1+18,""))</f>
        <v>42719</v>
      </c>
      <c r="Y204" s="67">
        <f>IF(DAY(Déc_Dim1)=1,IF(AND(YEAR(Déc_Dim1+12)=Année_Calendaire,MONTH(Déc_Dim1+12)=12),Déc_Dim1+12,""),IF(AND(YEAR(Déc_Dim1+19)=Année_Calendaire,MONTH(Déc_Dim1+19)=12),Déc_Dim1+19,""))</f>
        <v>42720</v>
      </c>
      <c r="Z204" s="67">
        <f>IF(DAY(Déc_Dim1)=1,IF(AND(YEAR(Déc_Dim1+13)=Année_Calendaire,MONTH(Déc_Dim1+13)=12),Déc_Dim1+13,""),IF(AND(YEAR(Déc_Dim1+20)=Année_Calendaire,MONTH(Déc_Dim1+20)=12),Déc_Dim1+20,""))</f>
        <v>42721</v>
      </c>
      <c r="AA204" s="67">
        <f>IF(DAY(Déc_Dim1)=1,IF(AND(YEAR(Déc_Dim1+14)=Année_Calendaire,MONTH(Déc_Dim1+14)=12),Déc_Dim1+14,""),IF(AND(YEAR(Déc_Dim1+21)=Année_Calendaire,MONTH(Déc_Dim1+21)=12),Déc_Dim1+21,""))</f>
        <v>42722</v>
      </c>
      <c r="AB204" s="96"/>
      <c r="AC204" s="87"/>
      <c r="AD204" s="67">
        <f>IF(DAY(Déc_Dim1)=1,IF(AND(YEAR(Déc_Dim1+15)=Année_Calendaire,MONTH(Déc_Dim1+15)=12),Déc_Dim1+15,""),IF(AND(YEAR(Déc_Dim1+22)=Année_Calendaire,MONTH(Déc_Dim1+22)=12),Déc_Dim1+22,""))</f>
        <v>42723</v>
      </c>
      <c r="AE204" s="67">
        <f>IF(DAY(Déc_Dim1)=1,IF(AND(YEAR(Déc_Dim1+16)=Année_Calendaire,MONTH(Déc_Dim1+16)=12),Déc_Dim1+16,""),IF(AND(YEAR(Déc_Dim1+23)=Année_Calendaire,MONTH(Déc_Dim1+23)=12),Déc_Dim1+23,""))</f>
        <v>42724</v>
      </c>
      <c r="AF204" s="67">
        <f>IF(DAY(Déc_Dim1)=1,IF(AND(YEAR(Déc_Dim1+17)=Année_Calendaire,MONTH(Déc_Dim1+17)=12),Déc_Dim1+17,""),IF(AND(YEAR(Déc_Dim1+24)=Année_Calendaire,MONTH(Déc_Dim1+24)=12),Déc_Dim1+24,""))</f>
        <v>42725</v>
      </c>
      <c r="AG204" s="67">
        <f>IF(DAY(Déc_Dim1)=1,IF(AND(YEAR(Déc_Dim1+18)=Année_Calendaire,MONTH(Déc_Dim1+18)=12),Déc_Dim1+18,""),IF(AND(YEAR(Déc_Dim1+25)=Année_Calendaire,MONTH(Déc_Dim1+25)=12),Déc_Dim1+25,""))</f>
        <v>42726</v>
      </c>
      <c r="AH204" s="67">
        <f>IF(DAY(Déc_Dim1)=1,IF(AND(YEAR(Déc_Dim1+19)=Année_Calendaire,MONTH(Déc_Dim1+19)=12),Déc_Dim1+19,""),IF(AND(YEAR(Déc_Dim1+26)=Année_Calendaire,MONTH(Déc_Dim1+26)=12),Déc_Dim1+26,""))</f>
        <v>42727</v>
      </c>
      <c r="AI204" s="67">
        <f>IF(DAY(Déc_Dim1)=1,IF(AND(YEAR(Déc_Dim1+20)=Année_Calendaire,MONTH(Déc_Dim1+20)=12),Déc_Dim1+20,""),IF(AND(YEAR(Déc_Dim1+27)=Année_Calendaire,MONTH(Déc_Dim1+27)=12),Déc_Dim1+27,""))</f>
        <v>42728</v>
      </c>
      <c r="AJ204" s="67">
        <f>IF(DAY(Déc_Dim1)=1,IF(AND(YEAR(Déc_Dim1+21)=Année_Calendaire,MONTH(Déc_Dim1+21)=12),Déc_Dim1+21,""),IF(AND(YEAR(Déc_Dim1+28)=Année_Calendaire,MONTH(Déc_Dim1+28)=12),Déc_Dim1+28,""))</f>
        <v>42729</v>
      </c>
      <c r="AK204" s="96"/>
      <c r="AL204" s="87"/>
      <c r="AM204" s="67">
        <f>IF(DAY(Déc_Dim1)=1,IF(AND(YEAR(Déc_Dim1+22)=Année_Calendaire,MONTH(Déc_Dim1+22)=12),Déc_Dim1+22,""),IF(AND(YEAR(Déc_Dim1+29)=Année_Calendaire,MONTH(Déc_Dim1+29)=12),Déc_Dim1+29,""))</f>
        <v>42730</v>
      </c>
      <c r="AN204" s="67">
        <f>IF(DAY(Déc_Dim1)=1,IF(AND(YEAR(Déc_Dim1+23)=Année_Calendaire,MONTH(Déc_Dim1+23)=12),Déc_Dim1+23,""),IF(AND(YEAR(Déc_Dim1+30)=Année_Calendaire,MONTH(Déc_Dim1+30)=12),Déc_Dim1+30,""))</f>
        <v>42731</v>
      </c>
      <c r="AO204" s="67">
        <f>IF(DAY(Déc_Dim1)=1,IF(AND(YEAR(Déc_Dim1+24)=Année_Calendaire,MONTH(Déc_Dim1+24)=12),Déc_Dim1+24,""),IF(AND(YEAR(Déc_Dim1+31)=Année_Calendaire,MONTH(Déc_Dim1+31)=12),Déc_Dim1+31,""))</f>
        <v>42732</v>
      </c>
      <c r="AP204" s="67">
        <f>IF(DAY(Déc_Dim1)=1,IF(AND(YEAR(Déc_Dim1+25)=Année_Calendaire,MONTH(Déc_Dim1+25)=12),Déc_Dim1+25,""),IF(AND(YEAR(Déc_Dim1+32)=Année_Calendaire,MONTH(Déc_Dim1+32)=12),Déc_Dim1+32,""))</f>
        <v>42733</v>
      </c>
      <c r="AQ204" s="67">
        <f>IF(DAY(Déc_Dim1)=1,IF(AND(YEAR(Déc_Dim1+26)=Année_Calendaire,MONTH(Déc_Dim1+26)=12),Déc_Dim1+26,""),IF(AND(YEAR(Déc_Dim1+33)=Année_Calendaire,MONTH(Déc_Dim1+33)=12),Déc_Dim1+33,""))</f>
        <v>42734</v>
      </c>
      <c r="AR204" s="67">
        <f>IF(DAY(Déc_Dim1)=1,IF(AND(YEAR(Déc_Dim1+27)=Année_Calendaire,MONTH(Déc_Dim1+27)=12),Déc_Dim1+27,""),IF(AND(YEAR(Déc_Dim1+34)=Année_Calendaire,MONTH(Déc_Dim1+34)=12),Déc_Dim1+34,""))</f>
        <v>42735</v>
      </c>
      <c r="AS204" s="67" t="str">
        <f>IF(DAY(Déc_Dim1)=1,IF(AND(YEAR(Déc_Dim1+28)=Année_Calendaire,MONTH(Déc_Dim1+28)=12),Déc_Dim1+28,""),IF(AND(YEAR(Déc_Dim1+35)=Année_Calendaire,MONTH(Déc_Dim1+35)=12),Déc_Dim1+35,""))</f>
        <v/>
      </c>
      <c r="AT204" s="96"/>
      <c r="AU204" s="87"/>
      <c r="AV204" s="61" t="str">
        <f>IF(DAY(Déc_Dim1)=1,IF(AND(YEAR(Déc_Dim1+29)=Année_Calendaire,MONTH(Déc_Dim1+29)=12),Déc_Dim1+29,""),IF(AND(YEAR(Déc_Dim1+36)=Année_Calendaire,MONTH(Déc_Dim1+36)=12),Déc_Dim1+36,""))</f>
        <v/>
      </c>
      <c r="AW204" s="61" t="str">
        <f>IF(DAY(Déc_Dim1)=1,IF(AND(YEAR(Déc_Dim1+30)=Année_Calendaire,MONTH(Déc_Dim1+30)=12),Déc_Dim1+30,""),IF(AND(YEAR(Déc_Dim1+37)=Année_Calendaire,MONTH(Déc_Dim1+37)=12),Déc_Dim1+37,""))</f>
        <v/>
      </c>
      <c r="AX204" s="96"/>
      <c r="AY204" s="96"/>
      <c r="AZ204" s="97"/>
      <c r="BA204" s="97"/>
    </row>
    <row r="205" spans="1:58" x14ac:dyDescent="0.25">
      <c r="A205" s="21" t="s">
        <v>2</v>
      </c>
      <c r="B205" s="81"/>
      <c r="C205" s="31"/>
      <c r="D205" s="31"/>
      <c r="E205" s="31"/>
      <c r="F205" s="31"/>
      <c r="G205" s="31"/>
      <c r="H205" s="31"/>
      <c r="I205" s="31"/>
      <c r="J205" s="60"/>
      <c r="K205" s="60"/>
      <c r="L205" s="31"/>
      <c r="M205" s="31"/>
      <c r="N205" s="31"/>
      <c r="O205" s="31"/>
      <c r="P205" s="31"/>
      <c r="Q205" s="31"/>
      <c r="R205" s="31"/>
      <c r="S205" s="60"/>
      <c r="T205" s="60"/>
      <c r="U205" s="31"/>
      <c r="V205" s="31"/>
      <c r="W205" s="31"/>
      <c r="X205" s="31"/>
      <c r="Y205" s="31"/>
      <c r="Z205" s="31"/>
      <c r="AA205" s="31"/>
      <c r="AB205" s="60"/>
      <c r="AC205" s="60"/>
      <c r="AD205" s="31"/>
      <c r="AE205" s="31"/>
      <c r="AF205" s="31"/>
      <c r="AG205" s="31"/>
      <c r="AH205" s="31"/>
      <c r="AI205" s="31"/>
      <c r="AJ205" s="31"/>
      <c r="AK205" s="60"/>
      <c r="AL205" s="60"/>
      <c r="AM205" s="31"/>
      <c r="AN205" s="31"/>
      <c r="AO205" s="31"/>
      <c r="AP205" s="31"/>
      <c r="AQ205" s="31"/>
      <c r="AR205" s="31"/>
      <c r="AS205" s="31"/>
      <c r="AT205" s="60"/>
      <c r="AU205" s="60"/>
      <c r="AV205" s="31"/>
      <c r="AW205" s="31"/>
      <c r="AX205" s="60"/>
      <c r="AY205" s="63"/>
    </row>
    <row r="206" spans="1:58" x14ac:dyDescent="0.25">
      <c r="A206" s="21" t="s">
        <v>12</v>
      </c>
      <c r="B206" s="81"/>
      <c r="C206" s="60">
        <f t="shared" ref="C206:I206" si="333">IF(C205="Matin",1,IF(C205="AM",1,0))</f>
        <v>0</v>
      </c>
      <c r="D206" s="60">
        <f t="shared" si="333"/>
        <v>0</v>
      </c>
      <c r="E206" s="60">
        <f t="shared" si="333"/>
        <v>0</v>
      </c>
      <c r="F206" s="60">
        <f t="shared" si="333"/>
        <v>0</v>
      </c>
      <c r="G206" s="60">
        <f t="shared" si="333"/>
        <v>0</v>
      </c>
      <c r="H206" s="60">
        <f t="shared" si="333"/>
        <v>0</v>
      </c>
      <c r="I206" s="60">
        <f t="shared" si="333"/>
        <v>0</v>
      </c>
      <c r="J206" s="60">
        <f>SUM(C206:I206)</f>
        <v>0</v>
      </c>
      <c r="K206" s="60"/>
      <c r="L206" s="60">
        <f t="shared" ref="L206:R206" si="334">IF(L205="Matin",1,IF(L205="AM",1,0))</f>
        <v>0</v>
      </c>
      <c r="M206" s="60">
        <f t="shared" si="334"/>
        <v>0</v>
      </c>
      <c r="N206" s="60">
        <f t="shared" si="334"/>
        <v>0</v>
      </c>
      <c r="O206" s="60">
        <f t="shared" si="334"/>
        <v>0</v>
      </c>
      <c r="P206" s="60">
        <f t="shared" si="334"/>
        <v>0</v>
      </c>
      <c r="Q206" s="60">
        <f t="shared" si="334"/>
        <v>0</v>
      </c>
      <c r="R206" s="60">
        <f t="shared" si="334"/>
        <v>0</v>
      </c>
      <c r="S206" s="60">
        <f>SUM(L206:R206)</f>
        <v>0</v>
      </c>
      <c r="T206" s="60"/>
      <c r="U206" s="60">
        <f t="shared" ref="U206:AA206" si="335">IF(U205="Matin",1,IF(U205="AM",1,0))</f>
        <v>0</v>
      </c>
      <c r="V206" s="60">
        <f t="shared" si="335"/>
        <v>0</v>
      </c>
      <c r="W206" s="60">
        <f t="shared" si="335"/>
        <v>0</v>
      </c>
      <c r="X206" s="60">
        <f t="shared" si="335"/>
        <v>0</v>
      </c>
      <c r="Y206" s="60">
        <f t="shared" si="335"/>
        <v>0</v>
      </c>
      <c r="Z206" s="60">
        <f t="shared" si="335"/>
        <v>0</v>
      </c>
      <c r="AA206" s="60">
        <f t="shared" si="335"/>
        <v>0</v>
      </c>
      <c r="AB206" s="60">
        <f>SUM(U206:AA206)</f>
        <v>0</v>
      </c>
      <c r="AC206" s="60"/>
      <c r="AD206" s="60">
        <f t="shared" ref="AD206:AJ206" si="336">IF(AD205="Matin",1,IF(AD205="AM",1,0))</f>
        <v>0</v>
      </c>
      <c r="AE206" s="60">
        <f t="shared" si="336"/>
        <v>0</v>
      </c>
      <c r="AF206" s="60">
        <f t="shared" si="336"/>
        <v>0</v>
      </c>
      <c r="AG206" s="60">
        <f t="shared" si="336"/>
        <v>0</v>
      </c>
      <c r="AH206" s="60">
        <f t="shared" si="336"/>
        <v>0</v>
      </c>
      <c r="AI206" s="60">
        <f t="shared" si="336"/>
        <v>0</v>
      </c>
      <c r="AJ206" s="60">
        <f t="shared" si="336"/>
        <v>0</v>
      </c>
      <c r="AK206" s="60">
        <f>SUM(AD206:AJ206)</f>
        <v>0</v>
      </c>
      <c r="AL206" s="60"/>
      <c r="AM206" s="60">
        <f t="shared" ref="AM206:AS206" si="337">IF(AM205="Matin",1,IF(AM205="AM",1,0))</f>
        <v>0</v>
      </c>
      <c r="AN206" s="60">
        <f t="shared" si="337"/>
        <v>0</v>
      </c>
      <c r="AO206" s="60">
        <f t="shared" si="337"/>
        <v>0</v>
      </c>
      <c r="AP206" s="60">
        <f t="shared" si="337"/>
        <v>0</v>
      </c>
      <c r="AQ206" s="60">
        <f t="shared" si="337"/>
        <v>0</v>
      </c>
      <c r="AR206" s="60">
        <f t="shared" si="337"/>
        <v>0</v>
      </c>
      <c r="AS206" s="60">
        <f t="shared" si="337"/>
        <v>0</v>
      </c>
      <c r="AT206" s="60">
        <f>SUM(AM206:AS206)</f>
        <v>0</v>
      </c>
      <c r="AU206" s="60"/>
      <c r="AV206" s="60">
        <f t="shared" ref="AV206:AW206" si="338">IF(AV205="Matin",1,IF(AV205="AM",1,0))</f>
        <v>0</v>
      </c>
      <c r="AW206" s="60">
        <f t="shared" si="338"/>
        <v>0</v>
      </c>
      <c r="AX206" s="60">
        <f t="shared" ref="AX206:AX213" si="339">SUM(AV206:AW206)</f>
        <v>0</v>
      </c>
      <c r="AY206" s="60">
        <f>J206+S206+AB206+AK206+AT206+AX206</f>
        <v>0</v>
      </c>
    </row>
    <row r="207" spans="1:58" x14ac:dyDescent="0.25">
      <c r="A207" s="21" t="s">
        <v>4</v>
      </c>
      <c r="B207" s="81"/>
      <c r="C207" s="60">
        <f>IF(C208&gt;=1,1,0)</f>
        <v>0</v>
      </c>
      <c r="D207" s="60">
        <f>IF(D208&gt;=1,1,0)</f>
        <v>0</v>
      </c>
      <c r="E207" s="60">
        <f t="shared" ref="E207:I207" si="340">IF(E208&gt;=1,1,0)</f>
        <v>0</v>
      </c>
      <c r="F207" s="60">
        <f t="shared" si="340"/>
        <v>0</v>
      </c>
      <c r="G207" s="60">
        <f t="shared" si="340"/>
        <v>0</v>
      </c>
      <c r="H207" s="60">
        <f t="shared" si="340"/>
        <v>0</v>
      </c>
      <c r="I207" s="60">
        <f t="shared" si="340"/>
        <v>0</v>
      </c>
      <c r="J207" s="60">
        <f t="shared" ref="J207:J217" si="341">SUM(C207:I207)</f>
        <v>0</v>
      </c>
      <c r="K207" s="60"/>
      <c r="L207" s="60">
        <f>IF(L208&gt;=1,1,0)</f>
        <v>0</v>
      </c>
      <c r="M207" s="60">
        <f t="shared" ref="M207:R207" si="342">IF(M208&gt;=1,1,0)</f>
        <v>0</v>
      </c>
      <c r="N207" s="60">
        <f t="shared" si="342"/>
        <v>0</v>
      </c>
      <c r="O207" s="60">
        <f t="shared" si="342"/>
        <v>0</v>
      </c>
      <c r="P207" s="60">
        <f t="shared" si="342"/>
        <v>0</v>
      </c>
      <c r="Q207" s="60">
        <f t="shared" si="342"/>
        <v>0</v>
      </c>
      <c r="R207" s="60">
        <f t="shared" si="342"/>
        <v>0</v>
      </c>
      <c r="S207" s="60">
        <f t="shared" ref="S207:S217" si="343">SUM(L207:R207)</f>
        <v>0</v>
      </c>
      <c r="T207" s="60"/>
      <c r="U207" s="60">
        <f>IF(U208&gt;=1,1,0)</f>
        <v>0</v>
      </c>
      <c r="V207" s="60">
        <f t="shared" ref="V207:AA207" si="344">IF(V208&gt;=1,1,0)</f>
        <v>0</v>
      </c>
      <c r="W207" s="60">
        <f t="shared" si="344"/>
        <v>0</v>
      </c>
      <c r="X207" s="60">
        <f t="shared" si="344"/>
        <v>0</v>
      </c>
      <c r="Y207" s="60">
        <f t="shared" si="344"/>
        <v>0</v>
      </c>
      <c r="Z207" s="60">
        <f t="shared" si="344"/>
        <v>0</v>
      </c>
      <c r="AA207" s="60">
        <f t="shared" si="344"/>
        <v>0</v>
      </c>
      <c r="AB207" s="60">
        <f t="shared" ref="AB207:AB217" si="345">SUM(U207:AA207)</f>
        <v>0</v>
      </c>
      <c r="AC207" s="60"/>
      <c r="AD207" s="60">
        <f>IF(AD208&gt;=1,1,0)</f>
        <v>0</v>
      </c>
      <c r="AE207" s="60">
        <f t="shared" ref="AE207:AJ207" si="346">IF(AE208&gt;=1,1,0)</f>
        <v>0</v>
      </c>
      <c r="AF207" s="60">
        <f t="shared" si="346"/>
        <v>0</v>
      </c>
      <c r="AG207" s="60">
        <f t="shared" si="346"/>
        <v>0</v>
      </c>
      <c r="AH207" s="60">
        <f t="shared" si="346"/>
        <v>0</v>
      </c>
      <c r="AI207" s="60">
        <f t="shared" si="346"/>
        <v>0</v>
      </c>
      <c r="AJ207" s="60">
        <f t="shared" si="346"/>
        <v>0</v>
      </c>
      <c r="AK207" s="60">
        <f t="shared" ref="AK207:AK217" si="347">SUM(AD207:AJ207)</f>
        <v>0</v>
      </c>
      <c r="AL207" s="60"/>
      <c r="AM207" s="60">
        <f>IF(AM208&gt;=1,1,0)</f>
        <v>0</v>
      </c>
      <c r="AN207" s="60">
        <f t="shared" ref="AN207:AS207" si="348">IF(AN208&gt;=1,1,0)</f>
        <v>0</v>
      </c>
      <c r="AO207" s="60">
        <f t="shared" si="348"/>
        <v>0</v>
      </c>
      <c r="AP207" s="60">
        <f t="shared" si="348"/>
        <v>0</v>
      </c>
      <c r="AQ207" s="60">
        <f t="shared" si="348"/>
        <v>0</v>
      </c>
      <c r="AR207" s="60">
        <f t="shared" si="348"/>
        <v>0</v>
      </c>
      <c r="AS207" s="60">
        <f t="shared" si="348"/>
        <v>0</v>
      </c>
      <c r="AT207" s="60">
        <f t="shared" ref="AT207:AT217" si="349">SUM(AM207:AS207)</f>
        <v>0</v>
      </c>
      <c r="AU207" s="60"/>
      <c r="AV207" s="60">
        <f>IF(AV208&gt;=1,1,0)</f>
        <v>0</v>
      </c>
      <c r="AW207" s="60">
        <f t="shared" ref="AW207" si="350">IF(AW208&gt;=1,1,0)</f>
        <v>0</v>
      </c>
      <c r="AX207" s="60">
        <f t="shared" si="339"/>
        <v>0</v>
      </c>
      <c r="AY207" s="60">
        <f t="shared" ref="AY207:AY216" si="351">J207+S207+AB207+AK207+AT207+AX207</f>
        <v>0</v>
      </c>
    </row>
    <row r="208" spans="1:58" x14ac:dyDescent="0.25">
      <c r="A208" s="21" t="s">
        <v>3</v>
      </c>
      <c r="B208" s="81"/>
      <c r="C208" s="31"/>
      <c r="D208" s="31"/>
      <c r="E208" s="31"/>
      <c r="F208" s="31"/>
      <c r="G208" s="31"/>
      <c r="H208" s="31"/>
      <c r="I208" s="31"/>
      <c r="J208" s="60">
        <f t="shared" si="341"/>
        <v>0</v>
      </c>
      <c r="K208" s="60"/>
      <c r="L208" s="31"/>
      <c r="M208" s="31"/>
      <c r="N208" s="31"/>
      <c r="O208" s="31"/>
      <c r="P208" s="31"/>
      <c r="Q208" s="31"/>
      <c r="R208" s="31"/>
      <c r="S208" s="60">
        <f t="shared" si="343"/>
        <v>0</v>
      </c>
      <c r="T208" s="60"/>
      <c r="U208" s="31"/>
      <c r="V208" s="31"/>
      <c r="W208" s="31"/>
      <c r="X208" s="31"/>
      <c r="Y208" s="31"/>
      <c r="Z208" s="31"/>
      <c r="AA208" s="31"/>
      <c r="AB208" s="60">
        <f t="shared" si="345"/>
        <v>0</v>
      </c>
      <c r="AC208" s="60"/>
      <c r="AD208" s="31"/>
      <c r="AE208" s="31"/>
      <c r="AF208" s="31"/>
      <c r="AG208" s="31"/>
      <c r="AH208" s="31"/>
      <c r="AI208" s="31"/>
      <c r="AJ208" s="31"/>
      <c r="AK208" s="60">
        <f t="shared" si="347"/>
        <v>0</v>
      </c>
      <c r="AL208" s="60"/>
      <c r="AM208" s="31"/>
      <c r="AN208" s="31"/>
      <c r="AO208" s="31"/>
      <c r="AP208" s="31"/>
      <c r="AQ208" s="31"/>
      <c r="AR208" s="31"/>
      <c r="AS208" s="31"/>
      <c r="AT208" s="60">
        <f t="shared" si="349"/>
        <v>0</v>
      </c>
      <c r="AU208" s="60"/>
      <c r="AV208" s="31"/>
      <c r="AW208" s="31"/>
      <c r="AX208" s="60">
        <f t="shared" si="339"/>
        <v>0</v>
      </c>
      <c r="AY208" s="60">
        <f t="shared" si="351"/>
        <v>0</v>
      </c>
    </row>
    <row r="209" spans="1:58" x14ac:dyDescent="0.25">
      <c r="A209" s="36" t="s">
        <v>20</v>
      </c>
      <c r="B209" s="82"/>
      <c r="C209" s="66">
        <f>IF(C203&lt;&gt;"Dim",IF(C208&gt;32,MIN(C208,35)-32,0),0)</f>
        <v>0</v>
      </c>
      <c r="D209" s="66">
        <f>IF(D203&lt;&gt;"Dim",IF(SUM($C208:D208)&gt;32,MIN(SUM($C208:D208),35)-32-SUM($C209:C209),0),0)</f>
        <v>0</v>
      </c>
      <c r="E209" s="66">
        <f>IF(E203&lt;&gt;"Dim",IF(SUM($C208:E208)&gt;32,MIN(SUM($C208:E208),35)-32-SUM($C209:D209),0),0)</f>
        <v>0</v>
      </c>
      <c r="F209" s="66">
        <f>IF(F203&lt;&gt;"Dim",IF(SUM($C208:F208)&gt;32,MIN(SUM($C208:F208),35)-32-SUM($C209:E209),0),0)</f>
        <v>0</v>
      </c>
      <c r="G209" s="66">
        <f>IF(G203&lt;&gt;"Dim",IF(SUM($C208:G208)&gt;32,MIN(SUM($C208:G208),35)-32-SUM($C209:F209),0),0)</f>
        <v>0</v>
      </c>
      <c r="H209" s="66">
        <f>IF(H203&lt;&gt;"Dim",IF(SUM($C208:H208)&gt;32,MIN(SUM($C208:H208),35)-32-SUM($C209:G209),0),0)</f>
        <v>0</v>
      </c>
      <c r="I209" s="66">
        <f>IF(I203&lt;&gt;"Dim",IF(SUM($C208:I208)&gt;32,MIN(SUM($C208:I208),35)-32-SUM($C209:H209),0),0)</f>
        <v>0</v>
      </c>
      <c r="J209" s="60">
        <f t="shared" si="341"/>
        <v>0</v>
      </c>
      <c r="K209" s="60"/>
      <c r="L209" s="66">
        <f>IF(L203&lt;&gt;"Dim",IF(L208&gt;32,MIN(L208,35)-32,0),0)</f>
        <v>0</v>
      </c>
      <c r="M209" s="66">
        <f>IF(M203&lt;&gt;"Dim",IF(SUM($L208:M208)&gt;32,MIN(SUM($L208:M208),35)-32-SUM($L209:L209),0),0)</f>
        <v>0</v>
      </c>
      <c r="N209" s="66">
        <f>IF(N203&lt;&gt;"Dim",IF(SUM($L208:N208)&gt;32,MIN(SUM($L208:N208),35)-32-SUM($L209:M209),0),0)</f>
        <v>0</v>
      </c>
      <c r="O209" s="66">
        <f>IF(O203&lt;&gt;"Dim",IF(SUM($L208:O208)&gt;32,MIN(SUM($L208:O208),35)-32-SUM($L209:N209),0),0)</f>
        <v>0</v>
      </c>
      <c r="P209" s="66">
        <f>IF(P203&lt;&gt;"Dim",IF(SUM($L208:P208)&gt;32,MIN(SUM($L208:P208),35)-32-SUM($L209:O209),0),0)</f>
        <v>0</v>
      </c>
      <c r="Q209" s="66">
        <f>IF(Q203&lt;&gt;"Dim",IF(SUM($L208:Q208)&gt;32,MIN(SUM($L208:Q208),35)-32-SUM($L209:P209),0),0)</f>
        <v>0</v>
      </c>
      <c r="R209" s="66">
        <f>IF(R203&lt;&gt;"Dim",IF(SUM($L208:R208)&gt;32,MIN(SUM($L208:R208),35)-32-SUM($L209:Q209),0),0)</f>
        <v>0</v>
      </c>
      <c r="S209" s="60">
        <f t="shared" si="343"/>
        <v>0</v>
      </c>
      <c r="T209" s="60"/>
      <c r="U209" s="66">
        <f>IF(U203&lt;&gt;"Dim",IF(U208&gt;32,MIN(U208,35)-32,0),0)</f>
        <v>0</v>
      </c>
      <c r="V209" s="66">
        <f>IF(V203&lt;&gt;"Dim",IF(SUM($U208:V208)&gt;32,MIN(SUM($U208:V208),35)-32-SUM($U209:U209),0),0)</f>
        <v>0</v>
      </c>
      <c r="W209" s="66">
        <f>IF(W203&lt;&gt;"Dim",IF(SUM($U208:W208)&gt;32,MIN(SUM($U208:W208),35)-32-SUM($U209:V209),0),0)</f>
        <v>0</v>
      </c>
      <c r="X209" s="66">
        <f>IF(X203&lt;&gt;"Dim",IF(SUM($U208:X208)&gt;32,MIN(SUM($U208:X208),35)-32-SUM($U209:W209),0),0)</f>
        <v>0</v>
      </c>
      <c r="Y209" s="66">
        <f>IF(Y203&lt;&gt;"Dim",IF(SUM($U208:Y208)&gt;32,MIN(SUM($U208:Y208),35)-32-SUM($U209:X209),0),0)</f>
        <v>0</v>
      </c>
      <c r="Z209" s="66">
        <f>IF(Z203&lt;&gt;"Dim",IF(SUM($U208:Z208)&gt;32,MIN(SUM($U208:Z208),35)-32-SUM($U209:Y209),0),0)</f>
        <v>0</v>
      </c>
      <c r="AA209" s="66">
        <f>IF(AA203&lt;&gt;"Dim",IF(SUM($U208:AA208)&gt;32,MIN(SUM($U208:AA208),35)-32-SUM($U209:Z209),0),0)</f>
        <v>0</v>
      </c>
      <c r="AB209" s="60">
        <f t="shared" si="345"/>
        <v>0</v>
      </c>
      <c r="AC209" s="60"/>
      <c r="AD209" s="66">
        <f>IF(AD203&lt;&gt;"Dim",IF(AD208&gt;32,MIN(AD208,35)-32,0),0)</f>
        <v>0</v>
      </c>
      <c r="AE209" s="66">
        <f>IF(AE203&lt;&gt;"Dim",IF(SUM($AD208:AE208)&gt;32,MIN(SUM($AD208:AE208),35)-32-SUM($AD209:AD209),0),0)</f>
        <v>0</v>
      </c>
      <c r="AF209" s="66">
        <f>IF(AF203&lt;&gt;"Dim",IF(SUM($AD208:AF208)&gt;32,MIN(SUM($AD208:AF208),35)-32-SUM($AD209:AE209),0),0)</f>
        <v>0</v>
      </c>
      <c r="AG209" s="66">
        <f>IF(AG203&lt;&gt;"Dim",IF(SUM($AD208:AG208)&gt;32,MIN(SUM($AD208:AG208),35)-32-SUM($AD209:AF209),0),0)</f>
        <v>0</v>
      </c>
      <c r="AH209" s="66">
        <f>IF(AH203&lt;&gt;"Dim",IF(SUM($AD208:AH208)&gt;32,MIN(SUM($AD208:AH208),35)-32-SUM($AD209:AG209),0),0)</f>
        <v>0</v>
      </c>
      <c r="AI209" s="66">
        <f>IF(AI203&lt;&gt;"Dim",IF(SUM($AD208:AI208)&gt;32,MIN(SUM($AD208:AI208),35)-32-SUM($AD209:AH209),0),0)</f>
        <v>0</v>
      </c>
      <c r="AJ209" s="66">
        <f>IF(AJ203&lt;&gt;"Dim",IF(SUM($AD208:AJ208)&gt;32,MIN(SUM($AD208:AJ208),35)-32-SUM($AD209:AI209),0),0)</f>
        <v>0</v>
      </c>
      <c r="AK209" s="60">
        <f t="shared" si="347"/>
        <v>0</v>
      </c>
      <c r="AL209" s="60"/>
      <c r="AM209" s="66">
        <f>IF(AM203&lt;&gt;"Dim",IF(AM208&gt;32,MIN(AM208,35)-32,0),0)</f>
        <v>0</v>
      </c>
      <c r="AN209" s="66">
        <f>IF(AN203&lt;&gt;"Dim",IF(SUM($AM208:AN208)&gt;32,MIN(SUM($AM208:AN208),35)-32-SUM($AM209:AM209),0),0)</f>
        <v>0</v>
      </c>
      <c r="AO209" s="66">
        <f>IF(AO203&lt;&gt;"Dim",IF(SUM($AM208:AO208)&gt;32,MIN(SUM($AM208:AO208),35)-32-SUM($AM209:AN209),0),0)</f>
        <v>0</v>
      </c>
      <c r="AP209" s="66">
        <f>IF(AP203&lt;&gt;"Dim",IF(SUM($AM208:AP208)&gt;32,MIN(SUM($AM208:AP208),35)-32-SUM($AM209:AO209),0),0)</f>
        <v>0</v>
      </c>
      <c r="AQ209" s="66">
        <f>IF(AQ203&lt;&gt;"Dim",IF(SUM($AM208:AQ208)&gt;32,MIN(SUM($AM208:AQ208),35)-32-SUM($AM209:AP209),0),0)</f>
        <v>0</v>
      </c>
      <c r="AR209" s="66">
        <f>IF(AR203&lt;&gt;"Dim",IF(SUM($AM208:AR208)&gt;32,MIN(SUM($AM208:AR208),35)-32-SUM($AM209:AQ209),0),0)</f>
        <v>0</v>
      </c>
      <c r="AS209" s="66">
        <f>IF(AS203&lt;&gt;"Dim",IF(SUM($AM208:AS208)&gt;32,MIN(SUM($AM208:AS208),35)-32-SUM($AM209:AR209),0),0)</f>
        <v>0</v>
      </c>
      <c r="AT209" s="60">
        <f t="shared" si="349"/>
        <v>0</v>
      </c>
      <c r="AU209" s="60"/>
      <c r="AV209" s="66">
        <f>IF(AV203&lt;&gt;"Dim",IF(AV208&gt;32,MIN(AV208,35)-32,0),0)</f>
        <v>0</v>
      </c>
      <c r="AW209" s="66">
        <f>IF(AW203&lt;&gt;"Dim",IF(SUM($AV208:AW208)&gt;32,MIN(SUM($AV208:AW208),35)-32-SUM($AV209:AV209),0),0)</f>
        <v>0</v>
      </c>
      <c r="AX209" s="60">
        <f t="shared" si="339"/>
        <v>0</v>
      </c>
      <c r="AY209" s="60">
        <f t="shared" si="351"/>
        <v>0</v>
      </c>
    </row>
    <row r="210" spans="1:58" x14ac:dyDescent="0.25">
      <c r="A210" s="21" t="s">
        <v>6</v>
      </c>
      <c r="B210" s="81"/>
      <c r="C210" s="66">
        <f>IF(C203&lt;&gt;"Dim",IF(C208&gt;35,(MIN(C208,43)-35),0),0)</f>
        <v>0</v>
      </c>
      <c r="D210" s="66">
        <f>IF(D203&lt;&gt;"Dim",IF(SUM($C208:D208)&gt;35,(MIN(SUM($C208:D208),43)-35-SUM($C210:C210)),0),0)</f>
        <v>0</v>
      </c>
      <c r="E210" s="66">
        <f>IF(E203&lt;&gt;"Dim",IF(SUM($C208:E208)&gt;35,(MIN(SUM($C208:E208),43)-35-SUM($C210:D210)),0),0)</f>
        <v>0</v>
      </c>
      <c r="F210" s="66">
        <f>IF(F203&lt;&gt;"Dim",IF(SUM($C208:F208)&gt;35,(MIN(SUM($C208:F208),43)-35-SUM($C210:E210)),0),0)</f>
        <v>0</v>
      </c>
      <c r="G210" s="66">
        <f>IF(G203&lt;&gt;"Dim",IF(SUM($C208:G208)&gt;35,(MIN(SUM($C208:G208),43)-35-SUM($C210:F210)),0),0)</f>
        <v>0</v>
      </c>
      <c r="H210" s="66">
        <f>IF(H203&lt;&gt;"Dim",IF(SUM($C208:H208)&gt;35,(MIN(SUM($C208:H208),43)-35-SUM($C210:G210)),0),0)</f>
        <v>0</v>
      </c>
      <c r="I210" s="66">
        <f>IF(I203&lt;&gt;"Dim",IF(SUM($C208:I208)&gt;35,(MIN(SUM($C208:I208),43)-35-SUM($C210:H210)),0),0)</f>
        <v>0</v>
      </c>
      <c r="J210" s="60">
        <f t="shared" si="341"/>
        <v>0</v>
      </c>
      <c r="K210" s="60"/>
      <c r="L210" s="66">
        <f>IF(L203&lt;&gt;"Dim",IF(L208&gt;35,(MIN(L208,43)-35),0),0)</f>
        <v>0</v>
      </c>
      <c r="M210" s="66">
        <f>IF(M203&lt;&gt;"Dim",IF(SUM($L208:M208)&gt;35,(MIN(SUM($L208:M208),43)-35-SUM($L210:L210)),0),0)</f>
        <v>0</v>
      </c>
      <c r="N210" s="66">
        <f>IF(N203&lt;&gt;"Dim",IF(SUM($L208:N208)&gt;35,(MIN(SUM($L208:N208),43)-35-SUM($L210:M210)),0),0)</f>
        <v>0</v>
      </c>
      <c r="O210" s="66">
        <f>IF(O203&lt;&gt;"Dim",IF(SUM($L208:O208)&gt;35,(MIN(SUM($L208:O208),43)-35-SUM($L210:N210)),0),0)</f>
        <v>0</v>
      </c>
      <c r="P210" s="66">
        <f>IF(P203&lt;&gt;"Dim",IF(SUM($L208:P208)&gt;35,(MIN(SUM($L208:P208),43)-35-SUM($L210:O210)),0),0)</f>
        <v>0</v>
      </c>
      <c r="Q210" s="66">
        <f>IF(Q203&lt;&gt;"Dim",IF(SUM($L208:Q208)&gt;35,(MIN(SUM($L208:Q208),43)-35-SUM($L210:P210)),0),0)</f>
        <v>0</v>
      </c>
      <c r="R210" s="66">
        <f>IF(R203&lt;&gt;"Dim",IF(SUM($L208:R208)&gt;35,(MIN(SUM($L208:R208),43)-35-SUM($L210:Q210)),0),0)</f>
        <v>0</v>
      </c>
      <c r="S210" s="60">
        <f t="shared" si="343"/>
        <v>0</v>
      </c>
      <c r="T210" s="60"/>
      <c r="U210" s="66">
        <f>IF(U203&lt;&gt;"Dim",IF(U208&gt;35,(MIN(U208,43)-35),0),0)</f>
        <v>0</v>
      </c>
      <c r="V210" s="66">
        <f>IF(V203&lt;&gt;"Dim",IF(SUM($U208:V208)&gt;35,(MIN(SUM($U208:V208),43)-35-SUM($U210:U210)),0),0)</f>
        <v>0</v>
      </c>
      <c r="W210" s="66">
        <f>IF(W203&lt;&gt;"Dim",IF(SUM($U208:W208)&gt;35,(MIN(SUM($U208:W208),43)-35-SUM($U210:V210)),0),0)</f>
        <v>0</v>
      </c>
      <c r="X210" s="66">
        <f>IF(X203&lt;&gt;"Dim",IF(SUM($U208:X208)&gt;35,(MIN(SUM($U208:X208),43)-35-SUM($U210:W210)),0),0)</f>
        <v>0</v>
      </c>
      <c r="Y210" s="66">
        <f>IF(Y203&lt;&gt;"Dim",IF(SUM($U208:Y208)&gt;35,(MIN(SUM($U208:Y208),43)-35-SUM($U210:X210)),0),0)</f>
        <v>0</v>
      </c>
      <c r="Z210" s="66">
        <f>IF(Z203&lt;&gt;"Dim",IF(SUM($U208:Z208)&gt;35,(MIN(SUM($U208:Z208),43)-35-SUM($U210:Y210)),0),0)</f>
        <v>0</v>
      </c>
      <c r="AA210" s="66">
        <f>IF(AA203&lt;&gt;"Dim",IF(SUM($U208:AA208)&gt;35,(MIN(SUM($U208:AA208),43)-35-SUM($U210:Z210)),0),0)</f>
        <v>0</v>
      </c>
      <c r="AB210" s="60">
        <f t="shared" si="345"/>
        <v>0</v>
      </c>
      <c r="AC210" s="60"/>
      <c r="AD210" s="66">
        <f>IF(AD203&lt;&gt;"Dim",IF(AD208&gt;35,(MIN(AD208,43)-35),0),0)</f>
        <v>0</v>
      </c>
      <c r="AE210" s="66">
        <f>IF(AE203&lt;&gt;"Dim",IF(SUM($AD208:AE208)&gt;35,(MIN(SUM($AD208:AE208),43)-35-SUM($AD210:AD210)),0),0)</f>
        <v>0</v>
      </c>
      <c r="AF210" s="66">
        <f>IF(AF203&lt;&gt;"Dim",IF(SUM($AD208:AF208)&gt;35,(MIN(SUM($AD208:AF208),43)-35-SUM($AD210:AE210)),0),0)</f>
        <v>0</v>
      </c>
      <c r="AG210" s="66">
        <f>IF(AG203&lt;&gt;"Dim",IF(SUM($AD208:AG208)&gt;35,(MIN(SUM($AD208:AG208),43)-35-SUM($AD210:AF210)),0),0)</f>
        <v>0</v>
      </c>
      <c r="AH210" s="66">
        <f>IF(AH203&lt;&gt;"Dim",IF(SUM($AD208:AH208)&gt;35,(MIN(SUM($AD208:AH208),43)-35-SUM($AD210:AG210)),0),0)</f>
        <v>0</v>
      </c>
      <c r="AI210" s="66">
        <f>IF(AI203&lt;&gt;"Dim",IF(SUM($AD208:AI208)&gt;35,(MIN(SUM($AD208:AI208),43)-35-SUM($AD210:AH210)),0),0)</f>
        <v>0</v>
      </c>
      <c r="AJ210" s="66">
        <f>IF(AJ203&lt;&gt;"Dim",IF(SUM($AD208:AJ208)&gt;35,(MIN(SUM($AD208:AJ208),43)-35-SUM($AD210:AI210)),0),0)</f>
        <v>0</v>
      </c>
      <c r="AK210" s="60">
        <f t="shared" si="347"/>
        <v>0</v>
      </c>
      <c r="AL210" s="60"/>
      <c r="AM210" s="66">
        <f>IF(AM203&lt;&gt;"Dim",IF(AM208&gt;35,(MIN(AM208,43)-35),0),0)</f>
        <v>0</v>
      </c>
      <c r="AN210" s="66">
        <f>IF(AN203&lt;&gt;"Dim",IF(SUM($AM208:AN208)&gt;35,(MIN(SUM($AM208:AN208),43)-35-SUM($AM210:AM210)),0),0)</f>
        <v>0</v>
      </c>
      <c r="AO210" s="66">
        <f>IF(AO203&lt;&gt;"Dim",IF(SUM($AM208:AO208)&gt;35,(MIN(SUM($AM208:AO208),43)-35-SUM($AM210:AN210)),0),0)</f>
        <v>0</v>
      </c>
      <c r="AP210" s="66">
        <f>IF(AP203&lt;&gt;"Dim",IF(SUM($AM208:AP208)&gt;35,(MIN(SUM($AM208:AP208),43)-35-SUM($AM210:AO210)),0),0)</f>
        <v>0</v>
      </c>
      <c r="AQ210" s="66">
        <f>IF(AQ203&lt;&gt;"Dim",IF(SUM($AM208:AQ208)&gt;35,(MIN(SUM($AM208:AQ208),43)-35-SUM($AM210:AP210)),0),0)</f>
        <v>0</v>
      </c>
      <c r="AR210" s="66">
        <f>IF(AR203&lt;&gt;"Dim",IF(SUM($AM208:AR208)&gt;35,(MIN(SUM($AM208:AR208),43)-35-SUM($AM210:AQ210)),0),0)</f>
        <v>0</v>
      </c>
      <c r="AS210" s="66">
        <f>IF(AS203&lt;&gt;"Dim",IF(SUM($AM208:AS208)&gt;35,(MIN(SUM($AM208:AS208),43)-35-SUM($AM210:AR210)),0),0)</f>
        <v>0</v>
      </c>
      <c r="AT210" s="60">
        <f t="shared" si="349"/>
        <v>0</v>
      </c>
      <c r="AU210" s="60"/>
      <c r="AV210" s="66">
        <f>IF(AV203&lt;&gt;"Dim",IF(AV208&gt;35,(MIN(AV208,43)-35),0),0)</f>
        <v>0</v>
      </c>
      <c r="AW210" s="66">
        <f>IF(AW203&lt;&gt;"Dim",IF(SUM($AV208:AW208)&gt;35,(MIN(SUM($AV208:AW208),43)-35-SUM($AV210:AV210)),0),0)</f>
        <v>0</v>
      </c>
      <c r="AX210" s="60">
        <f t="shared" si="339"/>
        <v>0</v>
      </c>
      <c r="AY210" s="60">
        <f t="shared" si="351"/>
        <v>0</v>
      </c>
    </row>
    <row r="211" spans="1:58" x14ac:dyDescent="0.25">
      <c r="A211" s="21" t="s">
        <v>5</v>
      </c>
      <c r="B211" s="81"/>
      <c r="C211" s="66">
        <f>IF(C203&lt;&gt;"Dim",IF(C208&gt;43,(MIN(C208,48)-43),0),0)</f>
        <v>0</v>
      </c>
      <c r="D211" s="66">
        <f>IF(D203&lt;&gt;"Dim",IF(SUM($C208:D208)&gt;43,(MIN(SUM($C208:D208),48)-43-SUM($C211:C211)),0),0)</f>
        <v>0</v>
      </c>
      <c r="E211" s="66">
        <f>IF(E203&lt;&gt;"Dim",IF(SUM($C208:E208)&gt;43,(MIN(SUM($C208:E208),48)-43-SUM($C211:D211)),0),0)</f>
        <v>0</v>
      </c>
      <c r="F211" s="66">
        <f>IF(F203&lt;&gt;"Dim",IF(SUM($C208:F208)&gt;43,(MIN(SUM($C208:F208),48)-43-SUM($C211:E211)),0),0)</f>
        <v>0</v>
      </c>
      <c r="G211" s="66">
        <f>IF(G203&lt;&gt;"Dim",IF(SUM($C208:G208)&gt;43,(MIN(SUM($C208:G208),48)-43-SUM($C211:F211)),0),0)</f>
        <v>0</v>
      </c>
      <c r="H211" s="66">
        <f>IF(H203&lt;&gt;"Dim",IF(SUM($C208:H208)&gt;43,(MIN(SUM($C208:H208),48)-43-SUM($C211:G211)),0),0)</f>
        <v>0</v>
      </c>
      <c r="I211" s="66">
        <f>IF(I203&lt;&gt;"Dim",IF(SUM($C208:I208)&gt;43,(MIN(SUM($C208:I208),48)-43-SUM($C211:H211)),0),0)</f>
        <v>0</v>
      </c>
      <c r="J211" s="60">
        <f t="shared" si="341"/>
        <v>0</v>
      </c>
      <c r="K211" s="60"/>
      <c r="L211" s="66">
        <f>IF(L203&lt;&gt;"Dim",IF(L208&gt;43,(MIN(L208,48)-43),0),0)</f>
        <v>0</v>
      </c>
      <c r="M211" s="66">
        <f>IF(M203&lt;&gt;"Dim",IF(SUM($L208:M208)&gt;43,(MIN(SUM($L208:M208),48)-43-SUM($L211:L211)),0),0)</f>
        <v>0</v>
      </c>
      <c r="N211" s="66">
        <f>IF(N203&lt;&gt;"Dim",IF(SUM($L208:N208)&gt;43,(MIN(SUM($L208:N208),48)-43-SUM($L211:M211)),0),0)</f>
        <v>0</v>
      </c>
      <c r="O211" s="66">
        <f>IF(O203&lt;&gt;"Dim",IF(SUM($L208:O208)&gt;43,(MIN(SUM($L208:O208),48)-43-SUM($L211:N211)),0),0)</f>
        <v>0</v>
      </c>
      <c r="P211" s="66">
        <f>IF(P203&lt;&gt;"Dim",IF(SUM($L208:P208)&gt;43,(MIN(SUM($L208:P208),48)-43-SUM($L211:O211)),0),0)</f>
        <v>0</v>
      </c>
      <c r="Q211" s="66">
        <f>IF(Q203&lt;&gt;"Dim",IF(SUM($L208:Q208)&gt;43,(MIN(SUM($L208:Q208),48)-43-SUM($L211:P211)),0),0)</f>
        <v>0</v>
      </c>
      <c r="R211" s="66">
        <f>IF(R203&lt;&gt;"Dim",IF(SUM($L208:R208)&gt;43,(MIN(SUM($L208:R208),48)-43-SUM($L211:Q211)),0),0)</f>
        <v>0</v>
      </c>
      <c r="S211" s="60">
        <f t="shared" si="343"/>
        <v>0</v>
      </c>
      <c r="T211" s="60"/>
      <c r="U211" s="66">
        <f>IF(U203&lt;&gt;"Dim",IF(U208&gt;43,(MIN(U208,48)-43),0),0)</f>
        <v>0</v>
      </c>
      <c r="V211" s="66">
        <f>IF(V203&lt;&gt;"Dim",IF(SUM($U208:V208)&gt;43,(MIN(SUM($U208:V208),48)-43-SUM($U211:U211)),0),0)</f>
        <v>0</v>
      </c>
      <c r="W211" s="66">
        <f>IF(W203&lt;&gt;"Dim",IF(SUM($U208:W208)&gt;43,(MIN(SUM($U208:W208),48)-43-SUM($U211:V211)),0),0)</f>
        <v>0</v>
      </c>
      <c r="X211" s="66">
        <f>IF(X203&lt;&gt;"Dim",IF(SUM($U208:X208)&gt;43,(MIN(SUM($U208:X208),48)-43-SUM($U211:W211)),0),0)</f>
        <v>0</v>
      </c>
      <c r="Y211" s="66">
        <f>IF(Y203&lt;&gt;"Dim",IF(SUM($U208:Y208)&gt;43,(MIN(SUM($U208:Y208),48)-43-SUM($U211:X211)),0),0)</f>
        <v>0</v>
      </c>
      <c r="Z211" s="66">
        <f>IF(Z203&lt;&gt;"Dim",IF(SUM($U208:Z208)&gt;43,(MIN(SUM($U208:Z208),48)-43-SUM($U211:Y211)),0),0)</f>
        <v>0</v>
      </c>
      <c r="AA211" s="66">
        <f>IF(AA203&lt;&gt;"Dim",IF(SUM($U208:AA208)&gt;43,(MIN(SUM($U208:AA208),48)-43-SUM($U211:Z211)),0),0)</f>
        <v>0</v>
      </c>
      <c r="AB211" s="60">
        <f t="shared" si="345"/>
        <v>0</v>
      </c>
      <c r="AC211" s="60"/>
      <c r="AD211" s="66">
        <f>IF(AD203&lt;&gt;"Dim",IF(AD208&gt;43,(MIN(AD208,48)-43),0),0)</f>
        <v>0</v>
      </c>
      <c r="AE211" s="66">
        <f>IF(AE203&lt;&gt;"Dim",IF(SUM($AD208:AE208)&gt;43,(MIN(SUM($AD208:AE208),48)-43-SUM($AD211:AD211)),0),0)</f>
        <v>0</v>
      </c>
      <c r="AF211" s="66">
        <f>IF(AF203&lt;&gt;"Dim",IF(SUM($AD208:AF208)&gt;43,(MIN(SUM($AD208:AF208),48)-43-SUM($AD211:AE211)),0),0)</f>
        <v>0</v>
      </c>
      <c r="AG211" s="66">
        <f>IF(AG203&lt;&gt;"Dim",IF(SUM($AD208:AG208)&gt;43,(MIN(SUM($AD208:AG208),48)-43-SUM($AD211:AF211)),0),0)</f>
        <v>0</v>
      </c>
      <c r="AH211" s="66">
        <f>IF(AH203&lt;&gt;"Dim",IF(SUM($AD208:AH208)&gt;43,(MIN(SUM($AD208:AH208),48)-43-SUM($AD211:AG211)),0),0)</f>
        <v>0</v>
      </c>
      <c r="AI211" s="66">
        <f>IF(AI203&lt;&gt;"Dim",IF(SUM($AD208:AI208)&gt;43,(MIN(SUM($AD208:AI208),48)-43-SUM($AD211:AH211)),0),0)</f>
        <v>0</v>
      </c>
      <c r="AJ211" s="66">
        <f>IF(AJ203&lt;&gt;"Dim",IF(SUM($AD208:AJ208)&gt;43,(MIN(SUM($AD208:AJ208),48)-43-SUM($AD211:AI211)),0),0)</f>
        <v>0</v>
      </c>
      <c r="AK211" s="60">
        <f t="shared" si="347"/>
        <v>0</v>
      </c>
      <c r="AL211" s="60"/>
      <c r="AM211" s="66">
        <f>IF(AM203&lt;&gt;"Dim",IF(AM208&gt;43,(MIN(AM208,48)-43),0),0)</f>
        <v>0</v>
      </c>
      <c r="AN211" s="66">
        <f>IF(AN203&lt;&gt;"Dim",IF(SUM($AM208:AN208)&gt;43,(MIN(SUM($AM208:AN208),48)-43-SUM($AM211:AM211)),0),0)</f>
        <v>0</v>
      </c>
      <c r="AO211" s="66">
        <f>IF(AO203&lt;&gt;"Dim",IF(SUM($AM208:AO208)&gt;43,(MIN(SUM($AM208:AO208),48)-43-SUM($AM211:AN211)),0),0)</f>
        <v>0</v>
      </c>
      <c r="AP211" s="66">
        <f>IF(AP203&lt;&gt;"Dim",IF(SUM($AM208:AP208)&gt;43,(MIN(SUM($AM208:AP208),48)-43-SUM($AM211:AO211)),0),0)</f>
        <v>0</v>
      </c>
      <c r="AQ211" s="66">
        <f>IF(AQ203&lt;&gt;"Dim",IF(SUM($AM208:AQ208)&gt;43,(MIN(SUM($AM208:AQ208),48)-43-SUM($AM211:AP211)),0),0)</f>
        <v>0</v>
      </c>
      <c r="AR211" s="66">
        <f>IF(AR203&lt;&gt;"Dim",IF(SUM($AM208:AR208)&gt;43,(MIN(SUM($AM208:AR208),48)-43-SUM($AM211:AQ211)),0),0)</f>
        <v>0</v>
      </c>
      <c r="AS211" s="66">
        <f>IF(AS203&lt;&gt;"Dim",IF(SUM($AM208:AS208)&gt;43,(MIN(SUM($AM208:AS208),48)-43-SUM($AM211:AR211)),0),0)</f>
        <v>0</v>
      </c>
      <c r="AT211" s="60">
        <f t="shared" si="349"/>
        <v>0</v>
      </c>
      <c r="AU211" s="60"/>
      <c r="AV211" s="66">
        <f>IF(AV203&lt;&gt;"Dim",IF(AV208&gt;43,(MIN(AV208,48)-43),0),0)</f>
        <v>0</v>
      </c>
      <c r="AW211" s="66">
        <f>IF(AW203&lt;&gt;"Dim",IF(SUM($AV208:AW208)&gt;43,(MIN(SUM($AV208:AW208),48)-43-SUM($AV211:AV211)),0),0)</f>
        <v>0</v>
      </c>
      <c r="AX211" s="60">
        <f t="shared" si="339"/>
        <v>0</v>
      </c>
      <c r="AY211" s="60">
        <f t="shared" si="351"/>
        <v>0</v>
      </c>
    </row>
    <row r="212" spans="1:58" x14ac:dyDescent="0.25">
      <c r="A212" s="21" t="s">
        <v>7</v>
      </c>
      <c r="B212" s="81"/>
      <c r="C212" s="66">
        <f>IF(C203="Dim",C208,IF(C218="ferie",C208,0))</f>
        <v>0</v>
      </c>
      <c r="D212" s="66">
        <f t="shared" ref="D212:I212" si="352">IF(D203="Dim",D208,IF(D218="ferie",D208,0))</f>
        <v>0</v>
      </c>
      <c r="E212" s="66">
        <f t="shared" si="352"/>
        <v>0</v>
      </c>
      <c r="F212" s="66">
        <f t="shared" si="352"/>
        <v>0</v>
      </c>
      <c r="G212" s="66">
        <f t="shared" si="352"/>
        <v>0</v>
      </c>
      <c r="H212" s="66">
        <f t="shared" si="352"/>
        <v>0</v>
      </c>
      <c r="I212" s="66">
        <f t="shared" si="352"/>
        <v>0</v>
      </c>
      <c r="J212" s="60">
        <f t="shared" si="341"/>
        <v>0</v>
      </c>
      <c r="K212" s="60"/>
      <c r="L212" s="66">
        <f>IF(L203="Dim",L208,IF(L218="ferie",L208,0))</f>
        <v>0</v>
      </c>
      <c r="M212" s="66">
        <f t="shared" ref="M212:R212" si="353">IF(M203="Dim",M208,IF(M218="ferie",M208,0))</f>
        <v>0</v>
      </c>
      <c r="N212" s="66">
        <f t="shared" si="353"/>
        <v>0</v>
      </c>
      <c r="O212" s="66">
        <f t="shared" si="353"/>
        <v>0</v>
      </c>
      <c r="P212" s="66">
        <f t="shared" si="353"/>
        <v>0</v>
      </c>
      <c r="Q212" s="66">
        <f>IF(Q203="Dim",Q208,IF(Q218="ferie",Q208,0))</f>
        <v>0</v>
      </c>
      <c r="R212" s="66">
        <f t="shared" si="353"/>
        <v>0</v>
      </c>
      <c r="S212" s="60">
        <f t="shared" si="343"/>
        <v>0</v>
      </c>
      <c r="T212" s="60"/>
      <c r="U212" s="66">
        <f>IF(U203="Dim",U208,IF(U218="ferie",U208,0))</f>
        <v>0</v>
      </c>
      <c r="V212" s="66">
        <f t="shared" ref="V212:AA212" si="354">IF(V203="Dim",V208,IF(V218="ferie",V208,0))</f>
        <v>0</v>
      </c>
      <c r="W212" s="66">
        <f t="shared" si="354"/>
        <v>0</v>
      </c>
      <c r="X212" s="66">
        <f t="shared" si="354"/>
        <v>0</v>
      </c>
      <c r="Y212" s="66">
        <f t="shared" si="354"/>
        <v>0</v>
      </c>
      <c r="Z212" s="66">
        <f t="shared" si="354"/>
        <v>0</v>
      </c>
      <c r="AA212" s="66">
        <f t="shared" si="354"/>
        <v>0</v>
      </c>
      <c r="AB212" s="60">
        <f t="shared" si="345"/>
        <v>0</v>
      </c>
      <c r="AC212" s="60"/>
      <c r="AD212" s="66">
        <f>IF(AD203="Dim",AD208,IF(AD218="ferie",AD208,0))</f>
        <v>0</v>
      </c>
      <c r="AE212" s="66">
        <f t="shared" ref="AE212:AJ212" si="355">IF(AE203="Dim",AE208,IF(AE218="ferie",AE208,0))</f>
        <v>0</v>
      </c>
      <c r="AF212" s="66">
        <f t="shared" si="355"/>
        <v>0</v>
      </c>
      <c r="AG212" s="66">
        <f t="shared" si="355"/>
        <v>0</v>
      </c>
      <c r="AH212" s="66">
        <f t="shared" si="355"/>
        <v>0</v>
      </c>
      <c r="AI212" s="66">
        <f t="shared" si="355"/>
        <v>0</v>
      </c>
      <c r="AJ212" s="66">
        <f t="shared" si="355"/>
        <v>0</v>
      </c>
      <c r="AK212" s="60">
        <f t="shared" si="347"/>
        <v>0</v>
      </c>
      <c r="AL212" s="60"/>
      <c r="AM212" s="66">
        <f>IF(AM203="Dim",AM208,IF(AM218="ferie",AM208,0))</f>
        <v>0</v>
      </c>
      <c r="AN212" s="66">
        <f t="shared" ref="AN212:AW212" si="356">IF(AN203="Dim",AN208,IF(AN218="ferie",AN208,0))</f>
        <v>0</v>
      </c>
      <c r="AO212" s="66">
        <f t="shared" si="356"/>
        <v>0</v>
      </c>
      <c r="AP212" s="66">
        <f t="shared" si="356"/>
        <v>0</v>
      </c>
      <c r="AQ212" s="66">
        <f t="shared" si="356"/>
        <v>0</v>
      </c>
      <c r="AR212" s="66">
        <f t="shared" si="356"/>
        <v>0</v>
      </c>
      <c r="AS212" s="66">
        <f t="shared" si="356"/>
        <v>0</v>
      </c>
      <c r="AT212" s="60">
        <f>SUM(AM212:AS212)</f>
        <v>0</v>
      </c>
      <c r="AU212" s="60"/>
      <c r="AV212" s="66">
        <f>IF(AV203="Dim",AV208,IF(AV218="ferie",AV208,0))</f>
        <v>0</v>
      </c>
      <c r="AW212" s="66">
        <f t="shared" si="356"/>
        <v>0</v>
      </c>
      <c r="AX212" s="60">
        <f t="shared" si="339"/>
        <v>0</v>
      </c>
      <c r="AY212" s="60">
        <f t="shared" si="351"/>
        <v>0</v>
      </c>
    </row>
    <row r="213" spans="1:58" x14ac:dyDescent="0.25">
      <c r="A213" s="21" t="s">
        <v>8</v>
      </c>
      <c r="B213" s="81"/>
      <c r="C213" s="31"/>
      <c r="D213" s="31"/>
      <c r="E213" s="31"/>
      <c r="F213" s="31"/>
      <c r="G213" s="31"/>
      <c r="H213" s="31"/>
      <c r="I213" s="31"/>
      <c r="J213" s="60">
        <f t="shared" si="341"/>
        <v>0</v>
      </c>
      <c r="K213" s="60"/>
      <c r="L213" s="31"/>
      <c r="M213" s="31"/>
      <c r="N213" s="31"/>
      <c r="O213" s="31"/>
      <c r="P213" s="31"/>
      <c r="Q213" s="31"/>
      <c r="R213" s="31"/>
      <c r="S213" s="60">
        <f t="shared" si="343"/>
        <v>0</v>
      </c>
      <c r="T213" s="60"/>
      <c r="U213" s="31"/>
      <c r="V213" s="31"/>
      <c r="W213" s="31"/>
      <c r="X213" s="31"/>
      <c r="Y213" s="31"/>
      <c r="Z213" s="31"/>
      <c r="AA213" s="31"/>
      <c r="AB213" s="60">
        <f t="shared" si="345"/>
        <v>0</v>
      </c>
      <c r="AC213" s="60"/>
      <c r="AD213" s="31"/>
      <c r="AE213" s="31"/>
      <c r="AF213" s="31"/>
      <c r="AG213" s="31"/>
      <c r="AH213" s="31"/>
      <c r="AI213" s="31"/>
      <c r="AJ213" s="31"/>
      <c r="AK213" s="60">
        <f t="shared" si="347"/>
        <v>0</v>
      </c>
      <c r="AL213" s="60"/>
      <c r="AM213" s="31"/>
      <c r="AN213" s="31"/>
      <c r="AO213" s="31"/>
      <c r="AP213" s="31"/>
      <c r="AQ213" s="31"/>
      <c r="AR213" s="31"/>
      <c r="AS213" s="31"/>
      <c r="AT213" s="60">
        <f t="shared" si="349"/>
        <v>0</v>
      </c>
      <c r="AU213" s="60"/>
      <c r="AV213" s="31"/>
      <c r="AW213" s="31"/>
      <c r="AX213" s="60">
        <f t="shared" si="339"/>
        <v>0</v>
      </c>
      <c r="AY213" s="60">
        <f t="shared" si="351"/>
        <v>0</v>
      </c>
    </row>
    <row r="214" spans="1:58" x14ac:dyDescent="0.25">
      <c r="A214" s="36" t="s">
        <v>9</v>
      </c>
      <c r="B214" s="82"/>
      <c r="C214" s="31"/>
      <c r="D214" s="31"/>
      <c r="E214" s="31"/>
      <c r="F214" s="31"/>
      <c r="G214" s="31"/>
      <c r="H214" s="31"/>
      <c r="I214" s="31"/>
      <c r="J214" s="60">
        <f t="shared" si="341"/>
        <v>0</v>
      </c>
      <c r="K214" s="60"/>
      <c r="L214" s="31"/>
      <c r="M214" s="31"/>
      <c r="N214" s="31"/>
      <c r="O214" s="31"/>
      <c r="P214" s="31"/>
      <c r="Q214" s="31"/>
      <c r="R214" s="31"/>
      <c r="S214" s="60">
        <f t="shared" si="343"/>
        <v>0</v>
      </c>
      <c r="T214" s="60"/>
      <c r="U214" s="31"/>
      <c r="V214" s="31"/>
      <c r="W214" s="31"/>
      <c r="X214" s="31"/>
      <c r="Y214" s="31"/>
      <c r="Z214" s="31"/>
      <c r="AA214" s="31"/>
      <c r="AB214" s="60">
        <f t="shared" si="345"/>
        <v>0</v>
      </c>
      <c r="AC214" s="60"/>
      <c r="AD214" s="31"/>
      <c r="AE214" s="31"/>
      <c r="AF214" s="31"/>
      <c r="AG214" s="31"/>
      <c r="AH214" s="31"/>
      <c r="AI214" s="31"/>
      <c r="AJ214" s="31"/>
      <c r="AK214" s="60">
        <f t="shared" si="347"/>
        <v>0</v>
      </c>
      <c r="AL214" s="60"/>
      <c r="AM214" s="31"/>
      <c r="AN214" s="31"/>
      <c r="AO214" s="31"/>
      <c r="AP214" s="31"/>
      <c r="AQ214" s="31"/>
      <c r="AR214" s="31"/>
      <c r="AS214" s="31"/>
      <c r="AT214" s="60">
        <f t="shared" si="349"/>
        <v>0</v>
      </c>
      <c r="AU214" s="60"/>
      <c r="AV214" s="31"/>
      <c r="AW214" s="31"/>
      <c r="AX214" s="60">
        <f t="shared" ref="AX214:AX216" si="357">SUM(AV214:AW214)</f>
        <v>0</v>
      </c>
      <c r="AY214" s="60">
        <f t="shared" si="351"/>
        <v>0</v>
      </c>
    </row>
    <row r="215" spans="1:58" x14ac:dyDescent="0.25">
      <c r="A215" s="21" t="s">
        <v>11</v>
      </c>
      <c r="B215" s="81"/>
      <c r="C215" s="31"/>
      <c r="D215" s="31"/>
      <c r="E215" s="31"/>
      <c r="F215" s="31"/>
      <c r="G215" s="31"/>
      <c r="H215" s="31"/>
      <c r="I215" s="31"/>
      <c r="J215" s="60">
        <f t="shared" si="341"/>
        <v>0</v>
      </c>
      <c r="K215" s="60"/>
      <c r="L215" s="31"/>
      <c r="M215" s="31"/>
      <c r="N215" s="31"/>
      <c r="O215" s="31"/>
      <c r="P215" s="31"/>
      <c r="Q215" s="31"/>
      <c r="R215" s="31"/>
      <c r="S215" s="60">
        <f t="shared" si="343"/>
        <v>0</v>
      </c>
      <c r="T215" s="60"/>
      <c r="U215" s="31"/>
      <c r="V215" s="31"/>
      <c r="W215" s="31"/>
      <c r="X215" s="31"/>
      <c r="Y215" s="31"/>
      <c r="Z215" s="31"/>
      <c r="AA215" s="31"/>
      <c r="AB215" s="60">
        <f t="shared" si="345"/>
        <v>0</v>
      </c>
      <c r="AC215" s="60"/>
      <c r="AD215" s="31"/>
      <c r="AE215" s="31"/>
      <c r="AF215" s="31"/>
      <c r="AG215" s="31"/>
      <c r="AH215" s="31"/>
      <c r="AI215" s="31"/>
      <c r="AJ215" s="31"/>
      <c r="AK215" s="60">
        <f t="shared" si="347"/>
        <v>0</v>
      </c>
      <c r="AL215" s="60"/>
      <c r="AM215" s="31"/>
      <c r="AN215" s="31"/>
      <c r="AO215" s="31"/>
      <c r="AP215" s="31"/>
      <c r="AQ215" s="31"/>
      <c r="AR215" s="31"/>
      <c r="AS215" s="31"/>
      <c r="AT215" s="60">
        <f t="shared" si="349"/>
        <v>0</v>
      </c>
      <c r="AU215" s="60"/>
      <c r="AV215" s="31"/>
      <c r="AW215" s="31"/>
      <c r="AX215" s="60">
        <f t="shared" si="357"/>
        <v>0</v>
      </c>
      <c r="AY215" s="60">
        <f t="shared" si="351"/>
        <v>0</v>
      </c>
    </row>
    <row r="216" spans="1:58" x14ac:dyDescent="0.25">
      <c r="A216" s="36" t="s">
        <v>10</v>
      </c>
      <c r="B216" s="82"/>
      <c r="C216" s="31"/>
      <c r="D216" s="31"/>
      <c r="E216" s="31"/>
      <c r="F216" s="31"/>
      <c r="G216" s="31"/>
      <c r="H216" s="31"/>
      <c r="I216" s="31"/>
      <c r="J216" s="60">
        <f t="shared" si="341"/>
        <v>0</v>
      </c>
      <c r="K216" s="60"/>
      <c r="L216" s="31"/>
      <c r="M216" s="31"/>
      <c r="N216" s="31"/>
      <c r="O216" s="31"/>
      <c r="P216" s="31"/>
      <c r="Q216" s="31"/>
      <c r="R216" s="31"/>
      <c r="S216" s="60">
        <f t="shared" si="343"/>
        <v>0</v>
      </c>
      <c r="T216" s="60"/>
      <c r="U216" s="31"/>
      <c r="V216" s="31"/>
      <c r="W216" s="31"/>
      <c r="X216" s="31"/>
      <c r="Y216" s="31"/>
      <c r="Z216" s="31"/>
      <c r="AA216" s="31"/>
      <c r="AB216" s="60">
        <f t="shared" si="345"/>
        <v>0</v>
      </c>
      <c r="AC216" s="60"/>
      <c r="AD216" s="31"/>
      <c r="AE216" s="31"/>
      <c r="AF216" s="31"/>
      <c r="AG216" s="31"/>
      <c r="AH216" s="31"/>
      <c r="AI216" s="31"/>
      <c r="AJ216" s="31"/>
      <c r="AK216" s="60">
        <f t="shared" si="347"/>
        <v>0</v>
      </c>
      <c r="AL216" s="60"/>
      <c r="AM216" s="31"/>
      <c r="AN216" s="31"/>
      <c r="AO216" s="31"/>
      <c r="AP216" s="31"/>
      <c r="AQ216" s="31"/>
      <c r="AR216" s="31"/>
      <c r="AS216" s="31"/>
      <c r="AT216" s="60">
        <f t="shared" si="349"/>
        <v>0</v>
      </c>
      <c r="AU216" s="60"/>
      <c r="AV216" s="31"/>
      <c r="AW216" s="31"/>
      <c r="AX216" s="60">
        <f t="shared" si="357"/>
        <v>0</v>
      </c>
      <c r="AY216" s="60">
        <f t="shared" si="351"/>
        <v>0</v>
      </c>
    </row>
    <row r="217" spans="1:58" s="33" customFormat="1" ht="15" customHeight="1" x14ac:dyDescent="0.25">
      <c r="A217" s="36" t="s">
        <v>44</v>
      </c>
      <c r="B217" s="82"/>
      <c r="C217" s="60">
        <f>IF(C205="nuit",C208*0.02,0)</f>
        <v>0</v>
      </c>
      <c r="D217" s="60">
        <f>IF(D205="nuit",D208*0.02,0)</f>
        <v>0</v>
      </c>
      <c r="E217" s="60">
        <f t="shared" ref="E217:I217" si="358">IF(E205="nuit",E208*0.02,0)</f>
        <v>0</v>
      </c>
      <c r="F217" s="60">
        <f t="shared" si="358"/>
        <v>0</v>
      </c>
      <c r="G217" s="60">
        <f>IF(G205="nuit",G208*0.02,0)</f>
        <v>0</v>
      </c>
      <c r="H217" s="60">
        <f t="shared" si="358"/>
        <v>0</v>
      </c>
      <c r="I217" s="60">
        <f t="shared" si="358"/>
        <v>0</v>
      </c>
      <c r="J217" s="60">
        <f t="shared" si="341"/>
        <v>0</v>
      </c>
      <c r="K217" s="60"/>
      <c r="L217" s="60">
        <f>IF(L205="nuit",L208*0.02,0)</f>
        <v>0</v>
      </c>
      <c r="M217" s="60">
        <f>IF(M205="nuit",M208*0.02,0)</f>
        <v>0</v>
      </c>
      <c r="N217" s="60">
        <f t="shared" ref="N217:R217" si="359">IF(N205="nuit",N208*0.02,0)</f>
        <v>0</v>
      </c>
      <c r="O217" s="60">
        <f t="shared" si="359"/>
        <v>0</v>
      </c>
      <c r="P217" s="60">
        <f>IF(P205="nuit",P208*0.02,0)</f>
        <v>0</v>
      </c>
      <c r="Q217" s="60">
        <f t="shared" si="359"/>
        <v>0</v>
      </c>
      <c r="R217" s="60">
        <f t="shared" si="359"/>
        <v>0</v>
      </c>
      <c r="S217" s="60">
        <f t="shared" si="343"/>
        <v>0</v>
      </c>
      <c r="T217" s="60"/>
      <c r="U217" s="60">
        <f>IF(U205="nuit",U208*0.02,0)</f>
        <v>0</v>
      </c>
      <c r="V217" s="60">
        <f>IF(V205="nuit",V208*0.02,0)</f>
        <v>0</v>
      </c>
      <c r="W217" s="60">
        <f t="shared" ref="W217:AA217" si="360">IF(W205="nuit",W208*0.02,0)</f>
        <v>0</v>
      </c>
      <c r="X217" s="60">
        <f t="shared" si="360"/>
        <v>0</v>
      </c>
      <c r="Y217" s="60">
        <f>IF(Y205="nuit",Y208*0.02,0)</f>
        <v>0</v>
      </c>
      <c r="Z217" s="60">
        <f t="shared" si="360"/>
        <v>0</v>
      </c>
      <c r="AA217" s="60">
        <f t="shared" si="360"/>
        <v>0</v>
      </c>
      <c r="AB217" s="60">
        <f t="shared" si="345"/>
        <v>0</v>
      </c>
      <c r="AC217" s="60"/>
      <c r="AD217" s="60">
        <f>IF(AD205="nuit",AD208*0.02,0)</f>
        <v>0</v>
      </c>
      <c r="AE217" s="60">
        <f>IF(AE205="nuit",AE208*0.02,0)</f>
        <v>0</v>
      </c>
      <c r="AF217" s="60">
        <f t="shared" ref="AF217:AJ217" si="361">IF(AF205="nuit",AF208*0.02,0)</f>
        <v>0</v>
      </c>
      <c r="AG217" s="60">
        <f t="shared" si="361"/>
        <v>0</v>
      </c>
      <c r="AH217" s="60">
        <f>IF(AH205="nuit",AH208*0.02,0)</f>
        <v>0</v>
      </c>
      <c r="AI217" s="60">
        <f t="shared" si="361"/>
        <v>0</v>
      </c>
      <c r="AJ217" s="60">
        <f t="shared" si="361"/>
        <v>0</v>
      </c>
      <c r="AK217" s="60">
        <f t="shared" si="347"/>
        <v>0</v>
      </c>
      <c r="AL217" s="60"/>
      <c r="AM217" s="60">
        <f>IF(AM205="nuit",AM208*0.02,0)</f>
        <v>0</v>
      </c>
      <c r="AN217" s="60">
        <f>IF(AN205="nuit",AN208*0.02,0)</f>
        <v>0</v>
      </c>
      <c r="AO217" s="60">
        <f t="shared" ref="AO217:AS217" si="362">IF(AO205="nuit",AO208*0.02,0)</f>
        <v>0</v>
      </c>
      <c r="AP217" s="60">
        <f t="shared" si="362"/>
        <v>0</v>
      </c>
      <c r="AQ217" s="60">
        <f>IF(AQ205="nuit",AQ208*0.02,0)</f>
        <v>0</v>
      </c>
      <c r="AR217" s="60">
        <f t="shared" si="362"/>
        <v>0</v>
      </c>
      <c r="AS217" s="60">
        <f t="shared" si="362"/>
        <v>0</v>
      </c>
      <c r="AT217" s="60">
        <f t="shared" si="349"/>
        <v>0</v>
      </c>
      <c r="AU217" s="60"/>
      <c r="AV217" s="60">
        <f>IF(AV205="nuit",AV208*0.02,0)</f>
        <v>0</v>
      </c>
      <c r="AW217" s="60">
        <f>IF(AW205="nuit",AW208*0.02,0)</f>
        <v>0</v>
      </c>
      <c r="AX217" s="60">
        <f>SUM(AV217:AW217)</f>
        <v>0</v>
      </c>
      <c r="AY217" s="60">
        <f>J217+S217+AB217+AK217+AT217+AX217</f>
        <v>0</v>
      </c>
      <c r="AZ217" s="52"/>
      <c r="BA217" s="52"/>
      <c r="BB217" s="52"/>
      <c r="BC217" s="52"/>
      <c r="BD217" s="52"/>
      <c r="BE217" s="52"/>
      <c r="BF217" s="35"/>
    </row>
    <row r="218" spans="1:58" ht="14.25" customHeight="1" x14ac:dyDescent="0.25">
      <c r="A218" s="21" t="s">
        <v>31</v>
      </c>
      <c r="B218" s="81"/>
      <c r="C218" s="31"/>
      <c r="D218" s="31"/>
      <c r="E218" s="31"/>
      <c r="F218" s="31"/>
      <c r="G218" s="31"/>
      <c r="H218" s="37"/>
      <c r="I218" s="37"/>
      <c r="J218" s="64"/>
      <c r="K218" s="64"/>
      <c r="L218" s="37"/>
      <c r="M218" s="37"/>
      <c r="N218" s="37"/>
      <c r="O218" s="37"/>
      <c r="P218" s="37"/>
      <c r="Q218" s="37"/>
      <c r="R218" s="37"/>
      <c r="S218" s="64"/>
      <c r="T218" s="64"/>
      <c r="U218" s="37"/>
      <c r="V218" s="37"/>
      <c r="W218" s="37"/>
      <c r="X218" s="37"/>
      <c r="Y218" s="37"/>
      <c r="Z218" s="37"/>
      <c r="AA218" s="37"/>
      <c r="AB218" s="64"/>
      <c r="AC218" s="64"/>
      <c r="AD218" s="37"/>
      <c r="AE218" s="37"/>
      <c r="AF218" s="37"/>
      <c r="AG218" s="37"/>
      <c r="AH218" s="37"/>
      <c r="AI218" s="37"/>
      <c r="AJ218" s="37"/>
      <c r="AK218" s="64"/>
      <c r="AL218" s="64"/>
      <c r="AM218" s="37"/>
      <c r="AN218" s="37"/>
      <c r="AO218" s="37"/>
      <c r="AP218" s="37"/>
      <c r="AQ218" s="37"/>
      <c r="AR218" s="37"/>
      <c r="AS218" s="37"/>
      <c r="AT218" s="64"/>
      <c r="AU218" s="64"/>
      <c r="AV218" s="37"/>
      <c r="AW218" s="37"/>
      <c r="AX218" s="64"/>
      <c r="AY218" s="65"/>
    </row>
    <row r="219" spans="1:58" x14ac:dyDescent="0.25">
      <c r="A219" s="38"/>
      <c r="B219" s="38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69"/>
      <c r="AZ219" s="20"/>
      <c r="BA219" s="46"/>
    </row>
  </sheetData>
  <mergeCells count="150">
    <mergeCell ref="AY203:AY204"/>
    <mergeCell ref="AZ203:AZ204"/>
    <mergeCell ref="BA203:BA204"/>
    <mergeCell ref="J203:J204"/>
    <mergeCell ref="S203:S204"/>
    <mergeCell ref="AB203:AB204"/>
    <mergeCell ref="AK203:AK204"/>
    <mergeCell ref="AT203:AT204"/>
    <mergeCell ref="AX203:AX204"/>
    <mergeCell ref="AY185:AY186"/>
    <mergeCell ref="AZ185:AZ186"/>
    <mergeCell ref="BA185:BA186"/>
    <mergeCell ref="H202:I202"/>
    <mergeCell ref="Z202:AA202"/>
    <mergeCell ref="AR202:AS202"/>
    <mergeCell ref="J185:J186"/>
    <mergeCell ref="S185:S186"/>
    <mergeCell ref="AB185:AB186"/>
    <mergeCell ref="AK185:AK186"/>
    <mergeCell ref="AT185:AT186"/>
    <mergeCell ref="AX185:AX186"/>
    <mergeCell ref="AY167:AY168"/>
    <mergeCell ref="AZ167:AZ168"/>
    <mergeCell ref="BA167:BA168"/>
    <mergeCell ref="H184:I184"/>
    <mergeCell ref="Z184:AA184"/>
    <mergeCell ref="AR184:AS184"/>
    <mergeCell ref="J167:J168"/>
    <mergeCell ref="S167:S168"/>
    <mergeCell ref="AB167:AB168"/>
    <mergeCell ref="AK167:AK168"/>
    <mergeCell ref="AT167:AT168"/>
    <mergeCell ref="AX167:AX168"/>
    <mergeCell ref="AY149:AY150"/>
    <mergeCell ref="AZ149:AZ150"/>
    <mergeCell ref="BA149:BA150"/>
    <mergeCell ref="H166:I166"/>
    <mergeCell ref="Z166:AA166"/>
    <mergeCell ref="AR166:AS166"/>
    <mergeCell ref="J149:J150"/>
    <mergeCell ref="S149:S150"/>
    <mergeCell ref="AB149:AB150"/>
    <mergeCell ref="AK149:AK150"/>
    <mergeCell ref="AT149:AT150"/>
    <mergeCell ref="AX149:AX150"/>
    <mergeCell ref="AY131:AY132"/>
    <mergeCell ref="AZ131:AZ132"/>
    <mergeCell ref="BA131:BA132"/>
    <mergeCell ref="H148:I148"/>
    <mergeCell ref="Z148:AA148"/>
    <mergeCell ref="AR148:AS148"/>
    <mergeCell ref="J131:J132"/>
    <mergeCell ref="S131:S132"/>
    <mergeCell ref="AB131:AB132"/>
    <mergeCell ref="AK131:AK132"/>
    <mergeCell ref="AT131:AT132"/>
    <mergeCell ref="AX131:AX132"/>
    <mergeCell ref="AT113:AT114"/>
    <mergeCell ref="AX113:AX114"/>
    <mergeCell ref="AY113:AY114"/>
    <mergeCell ref="AZ113:AZ114"/>
    <mergeCell ref="BA113:BA114"/>
    <mergeCell ref="H130:I130"/>
    <mergeCell ref="Z130:AA130"/>
    <mergeCell ref="AR130:AS130"/>
    <mergeCell ref="H112:I112"/>
    <mergeCell ref="Z112:AA112"/>
    <mergeCell ref="AR112:AS112"/>
    <mergeCell ref="J113:J114"/>
    <mergeCell ref="S113:S114"/>
    <mergeCell ref="AB113:AB114"/>
    <mergeCell ref="AK113:AK114"/>
    <mergeCell ref="AY95:AY96"/>
    <mergeCell ref="AZ95:AZ96"/>
    <mergeCell ref="BA95:BA96"/>
    <mergeCell ref="BD96:BD97"/>
    <mergeCell ref="BE96:BE97"/>
    <mergeCell ref="BA98:BB98"/>
    <mergeCell ref="J95:J96"/>
    <mergeCell ref="S95:S96"/>
    <mergeCell ref="AB95:AB96"/>
    <mergeCell ref="AK95:AK96"/>
    <mergeCell ref="AT95:AT96"/>
    <mergeCell ref="AX95:AX96"/>
    <mergeCell ref="AY77:AY78"/>
    <mergeCell ref="AZ77:AZ78"/>
    <mergeCell ref="BA77:BA78"/>
    <mergeCell ref="H94:I94"/>
    <mergeCell ref="Z94:AA94"/>
    <mergeCell ref="AR94:AS94"/>
    <mergeCell ref="J77:J78"/>
    <mergeCell ref="S77:S78"/>
    <mergeCell ref="AB77:AB78"/>
    <mergeCell ref="AK77:AK78"/>
    <mergeCell ref="AT77:AT78"/>
    <mergeCell ref="AX77:AX78"/>
    <mergeCell ref="AY59:AY60"/>
    <mergeCell ref="AZ59:AZ60"/>
    <mergeCell ref="BA59:BA60"/>
    <mergeCell ref="H76:I76"/>
    <mergeCell ref="Z76:AA76"/>
    <mergeCell ref="AR76:AS76"/>
    <mergeCell ref="J59:J60"/>
    <mergeCell ref="S59:S60"/>
    <mergeCell ref="AB59:AB60"/>
    <mergeCell ref="AK59:AK60"/>
    <mergeCell ref="AT59:AT60"/>
    <mergeCell ref="AX59:AX60"/>
    <mergeCell ref="AY41:AY42"/>
    <mergeCell ref="AZ41:AZ42"/>
    <mergeCell ref="BA41:BA42"/>
    <mergeCell ref="H58:I58"/>
    <mergeCell ref="Z58:AA58"/>
    <mergeCell ref="AR58:AS58"/>
    <mergeCell ref="J41:J42"/>
    <mergeCell ref="S41:S42"/>
    <mergeCell ref="AB41:AB42"/>
    <mergeCell ref="AK41:AK42"/>
    <mergeCell ref="AT41:AT42"/>
    <mergeCell ref="AX41:AX42"/>
    <mergeCell ref="AY23:AY24"/>
    <mergeCell ref="AZ23:AZ24"/>
    <mergeCell ref="BA23:BA24"/>
    <mergeCell ref="H40:I40"/>
    <mergeCell ref="Z40:AA40"/>
    <mergeCell ref="AR40:AS40"/>
    <mergeCell ref="J23:J24"/>
    <mergeCell ref="S23:S24"/>
    <mergeCell ref="AB23:AB24"/>
    <mergeCell ref="AK23:AK24"/>
    <mergeCell ref="AT23:AT24"/>
    <mergeCell ref="AX23:AX24"/>
    <mergeCell ref="H22:I22"/>
    <mergeCell ref="Z22:AA22"/>
    <mergeCell ref="AR22:AS22"/>
    <mergeCell ref="J5:J6"/>
    <mergeCell ref="S5:S6"/>
    <mergeCell ref="AB5:AB6"/>
    <mergeCell ref="AK5:AK6"/>
    <mergeCell ref="AT5:AT6"/>
    <mergeCell ref="AX5:AX6"/>
    <mergeCell ref="AZ2:AZ3"/>
    <mergeCell ref="BA2:BA3"/>
    <mergeCell ref="H4:I4"/>
    <mergeCell ref="Z4:AA4"/>
    <mergeCell ref="AR4:AS4"/>
    <mergeCell ref="BD4:BE4"/>
    <mergeCell ref="AY5:AY6"/>
    <mergeCell ref="AZ5:AZ6"/>
    <mergeCell ref="BA5:BA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 altText="Spinner control. Use spinner to change calendar year or type desired year in cell L2">
                <anchor moveWithCells="1">
                  <from>
                    <xdr:col>0</xdr:col>
                    <xdr:colOff>236220</xdr:colOff>
                    <xdr:row>1</xdr:row>
                    <xdr:rowOff>60960</xdr:rowOff>
                  </from>
                  <to>
                    <xdr:col>0</xdr:col>
                    <xdr:colOff>381000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7"/>
  <sheetViews>
    <sheetView workbookViewId="0">
      <selection activeCell="B3" sqref="B3"/>
    </sheetView>
  </sheetViews>
  <sheetFormatPr baseColWidth="10" defaultRowHeight="15" x14ac:dyDescent="0.25"/>
  <sheetData>
    <row r="3" spans="2:3" x14ac:dyDescent="0.25">
      <c r="B3" s="100" t="s">
        <v>84</v>
      </c>
    </row>
    <row r="7" spans="2:3" x14ac:dyDescent="0.25">
      <c r="C7" s="100" t="s">
        <v>77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Travail</vt:lpstr>
      <vt:lpstr>Synthése</vt:lpstr>
      <vt:lpstr>DATA</vt:lpstr>
      <vt:lpstr>Feuil1</vt:lpstr>
      <vt:lpstr>essai</vt:lpstr>
      <vt:lpstr>Année_Calendaire</vt:lpstr>
      <vt:lpstr>Travail!Zone_d_impression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2012-08-30T13:50:50Z</dcterms:created>
  <dcterms:modified xsi:type="dcterms:W3CDTF">2016-07-19T20:32:12Z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