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\\LIVEBOX\ludovicarduino\Planning\"/>
    </mc:Choice>
  </mc:AlternateContent>
  <bookViews>
    <workbookView xWindow="0" yWindow="13800" windowWidth="23040" windowHeight="9075"/>
  </bookViews>
  <sheets>
    <sheet name="Travail" sheetId="6" r:id="rId1"/>
    <sheet name="Jours spéciaux" sheetId="18" r:id="rId2"/>
    <sheet name="Synthése" sheetId="14" r:id="rId3"/>
    <sheet name="Paie" sheetId="17" r:id="rId4"/>
    <sheet name="DATA" sheetId="11" r:id="rId5"/>
  </sheets>
  <externalReferences>
    <externalReference r:id="rId6"/>
    <externalReference r:id="rId7"/>
  </externalReferences>
  <definedNames>
    <definedName name="Année_Calendaire" localSheetId="3">[1]Travail!$A$1</definedName>
    <definedName name="Année_Calendaire">Travail!$A$1</definedName>
    <definedName name="Aoû_Dim1" localSheetId="3">DATE(Paie!Année_Calendaire,8,1)-WEEKDAY(DATE(Paie!Année_Calendaire,8,1))+1</definedName>
    <definedName name="Aoû_Dim1">DATE(Année_Calendaire,8,1)-WEEKDAY(DATE(Année_Calendaire,8,1))+1</definedName>
    <definedName name="Avr_Dim1" localSheetId="3">DATE(Paie!Année_Calendaire,4,1)-WEEKDAY(DATE(Paie!Année_Calendaire,4,1))+1</definedName>
    <definedName name="Avr_Dim1">DATE(Année_Calendaire,4,1)-WEEKDAY(DATE(Année_Calendaire,4,1))+1</definedName>
    <definedName name="Déc_Dim1" localSheetId="3">DATE(Paie!Année_Calendaire,12,1)-WEEKDAY(DATE(Paie!Année_Calendaire,12,1))+1</definedName>
    <definedName name="Déc_Dim1">DATE(Année_Calendaire,12,1)-WEEKDAY(DATE(Année_Calendaire,12,1))+1</definedName>
    <definedName name="Fév_Dim1" localSheetId="3">DATE(Paie!Année_Calendaire,2,1)-WEEKDAY(DATE(Paie!Année_Calendaire,2,1))+1</definedName>
    <definedName name="Fév_Dim1">DATE(Année_Calendaire,2,1)-WEEKDAY(DATE(Année_Calendaire,2,1))+1</definedName>
    <definedName name="Jan_Dim1" localSheetId="3">DATE(Paie!Année_Calendaire,1,1)-WEEKDAY(DATE(Paie!Année_Calendaire,1,1))+1</definedName>
    <definedName name="Jan_Dim1">DATE(Année_Calendaire,1,1)-WEEKDAY(DATE(Année_Calendaire,1,1))+1</definedName>
    <definedName name="Janv" localSheetId="3">[1]Synthése!$C$1:$N$1</definedName>
    <definedName name="Janv">Synthése!$C$1:$N$1</definedName>
    <definedName name="Juil_Dim1" localSheetId="3">DATE(Paie!Année_Calendaire,7,1)-WEEKDAY(DATE(Paie!Année_Calendaire,7,1))+1</definedName>
    <definedName name="Juil_Dim1">DATE(Année_Calendaire,7,1)-WEEKDAY(DATE(Année_Calendaire,7,1))+1</definedName>
    <definedName name="Juin_Dim1" localSheetId="3">DATE(Paie!Année_Calendaire,6,1)-WEEKDAY(DATE(Paie!Année_Calendaire,6,1))+1</definedName>
    <definedName name="Juin_Dim1">DATE(Année_Calendaire,6,1)-WEEKDAY(DATE(Année_Calendaire,6,1))+1</definedName>
    <definedName name="Mai_Dim1" localSheetId="3">DATE(Paie!Année_Calendaire,5,1)-WEEKDAY(DATE(Paie!Année_Calendaire,5,1))+1</definedName>
    <definedName name="Mai_Dim1">DATE(Année_Calendaire,5,1)-WEEKDAY(DATE(Année_Calendaire,5,1))+1</definedName>
    <definedName name="Mar_Dim1" localSheetId="3">DATE(Paie!Année_Calendaire,3,1)-WEEKDAY(DATE(Paie!Année_Calendaire,3,1))+1</definedName>
    <definedName name="Mar_Dim1">DATE(Année_Calendaire,3,1)-WEEKDAY(DATE(Année_Calendaire,3,1))+1</definedName>
    <definedName name="Mois">DATA!$A$15:$L$15</definedName>
    <definedName name="Nov_Dim1" localSheetId="3">DATE(Paie!Année_Calendaire,11,1)-WEEKDAY(DATE(Paie!Année_Calendaire,11,1))+1</definedName>
    <definedName name="Nov_Dim1">DATE(Année_Calendaire,11,1)-WEEKDAY(DATE(Année_Calendaire,11,1))+1</definedName>
    <definedName name="Oct_Dim1" localSheetId="3">DATE(Paie!Année_Calendaire,10,1)-WEEKDAY(DATE(Paie!Année_Calendaire,10,1))+1</definedName>
    <definedName name="Oct_Dim1">DATE(Année_Calendaire,10,1)-WEEKDAY(DATE(Année_Calendaire,10,1))+1</definedName>
    <definedName name="Sep_Dim1" localSheetId="3">DATE(Paie!Année_Calendaire,9,1)-WEEKDAY(DATE(Paie!Année_Calendaire,9,1))+1</definedName>
    <definedName name="Sep_Dim1">DATE(Année_Calendaire,9,1)-WEEKDAY(DATE(Année_Calendaire,9,1))+1</definedName>
    <definedName name="_xlnm.Print_Area" localSheetId="0">Travail!$A$2:$I$127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7" i="6" l="1"/>
  <c r="B10" i="17"/>
  <c r="B11" i="17"/>
  <c r="B12" i="17"/>
  <c r="B13" i="17"/>
  <c r="AA7" i="6" l="1"/>
  <c r="R7" i="6"/>
  <c r="AB18" i="6" l="1"/>
  <c r="AB17" i="6"/>
  <c r="AB16" i="6"/>
  <c r="AB15" i="6"/>
  <c r="Z14" i="6" l="1"/>
  <c r="Y14" i="6"/>
  <c r="X14" i="6"/>
  <c r="W14" i="6"/>
  <c r="V14" i="6"/>
  <c r="U14" i="6"/>
  <c r="I7" i="6"/>
  <c r="I10" i="6" s="1"/>
  <c r="G7" i="6"/>
  <c r="F7" i="6"/>
  <c r="E7" i="6"/>
  <c r="D7" i="6"/>
  <c r="AX7" i="6"/>
  <c r="C14" i="6"/>
  <c r="D14" i="6"/>
  <c r="E14" i="6"/>
  <c r="F14" i="6"/>
  <c r="G14" i="6"/>
  <c r="H14" i="6"/>
  <c r="AX224" i="6" l="1"/>
  <c r="AT227" i="6"/>
  <c r="AT226" i="6"/>
  <c r="AT225" i="6"/>
  <c r="AT224" i="6"/>
  <c r="AK227" i="6"/>
  <c r="AK226" i="6"/>
  <c r="AK225" i="6"/>
  <c r="AK224" i="6"/>
  <c r="AB227" i="6"/>
  <c r="AB226" i="6"/>
  <c r="AB225" i="6"/>
  <c r="AB224" i="6"/>
  <c r="S227" i="6"/>
  <c r="S226" i="6"/>
  <c r="S225" i="6"/>
  <c r="S224" i="6"/>
  <c r="J227" i="6"/>
  <c r="J226" i="6"/>
  <c r="J225" i="6"/>
  <c r="J224" i="6"/>
  <c r="J208" i="6"/>
  <c r="J207" i="6"/>
  <c r="J206" i="6"/>
  <c r="J205" i="6"/>
  <c r="J189" i="6"/>
  <c r="J188" i="6"/>
  <c r="J187" i="6"/>
  <c r="J186" i="6"/>
  <c r="S208" i="6"/>
  <c r="S207" i="6"/>
  <c r="S206" i="6"/>
  <c r="S205" i="6"/>
  <c r="S189" i="6"/>
  <c r="S188" i="6"/>
  <c r="S187" i="6"/>
  <c r="S186" i="6"/>
  <c r="AB208" i="6"/>
  <c r="AB207" i="6"/>
  <c r="AB206" i="6"/>
  <c r="AB205" i="6"/>
  <c r="AB189" i="6"/>
  <c r="AB188" i="6"/>
  <c r="AB187" i="6"/>
  <c r="AB186" i="6"/>
  <c r="AK208" i="6"/>
  <c r="AK207" i="6"/>
  <c r="AK206" i="6"/>
  <c r="AK205" i="6"/>
  <c r="AK189" i="6"/>
  <c r="AK188" i="6"/>
  <c r="AK187" i="6"/>
  <c r="AK186" i="6"/>
  <c r="AT208" i="6"/>
  <c r="AT207" i="6"/>
  <c r="AT206" i="6"/>
  <c r="AT205" i="6"/>
  <c r="AT189" i="6"/>
  <c r="AT188" i="6"/>
  <c r="AT187" i="6"/>
  <c r="AT186" i="6"/>
  <c r="AT170" i="6"/>
  <c r="AT169" i="6"/>
  <c r="AT168" i="6"/>
  <c r="AT167" i="6"/>
  <c r="AT151" i="6"/>
  <c r="AT150" i="6"/>
  <c r="AT149" i="6"/>
  <c r="AT148" i="6"/>
  <c r="AK170" i="6"/>
  <c r="AK169" i="6"/>
  <c r="AK168" i="6"/>
  <c r="AK167" i="6"/>
  <c r="AK151" i="6"/>
  <c r="AK150" i="6"/>
  <c r="AK149" i="6"/>
  <c r="AK148" i="6"/>
  <c r="AB170" i="6"/>
  <c r="AB169" i="6"/>
  <c r="AB168" i="6"/>
  <c r="AB167" i="6"/>
  <c r="AB151" i="6"/>
  <c r="AB150" i="6"/>
  <c r="AB149" i="6"/>
  <c r="AB148" i="6"/>
  <c r="S170" i="6"/>
  <c r="S169" i="6"/>
  <c r="S168" i="6"/>
  <c r="S167" i="6"/>
  <c r="S151" i="6"/>
  <c r="S150" i="6"/>
  <c r="S149" i="6"/>
  <c r="S148" i="6"/>
  <c r="J170" i="6"/>
  <c r="J169" i="6"/>
  <c r="J168" i="6"/>
  <c r="J167" i="6"/>
  <c r="J151" i="6"/>
  <c r="J150" i="6"/>
  <c r="J149" i="6"/>
  <c r="J148" i="6"/>
  <c r="S132" i="6"/>
  <c r="S131" i="6"/>
  <c r="S130" i="6"/>
  <c r="S129" i="6"/>
  <c r="J132" i="6"/>
  <c r="J131" i="6"/>
  <c r="J130" i="6"/>
  <c r="J129" i="6"/>
  <c r="J113" i="6"/>
  <c r="J112" i="6"/>
  <c r="J111" i="6"/>
  <c r="J110" i="6"/>
  <c r="S113" i="6"/>
  <c r="S112" i="6"/>
  <c r="S111" i="6"/>
  <c r="S110" i="6"/>
  <c r="AB132" i="6"/>
  <c r="AB131" i="6"/>
  <c r="AB130" i="6"/>
  <c r="AB129" i="6"/>
  <c r="AB113" i="6"/>
  <c r="AB112" i="6"/>
  <c r="AB111" i="6"/>
  <c r="AB110" i="6"/>
  <c r="AK113" i="6"/>
  <c r="AK112" i="6"/>
  <c r="AK111" i="6"/>
  <c r="AK110" i="6"/>
  <c r="AK132" i="6"/>
  <c r="AK131" i="6"/>
  <c r="AK130" i="6"/>
  <c r="AK129" i="6"/>
  <c r="AT132" i="6"/>
  <c r="AT131" i="6"/>
  <c r="AT130" i="6"/>
  <c r="AT129" i="6"/>
  <c r="AT113" i="6"/>
  <c r="AT112" i="6"/>
  <c r="AT111" i="6"/>
  <c r="AT110" i="6"/>
  <c r="AT94" i="6"/>
  <c r="AT93" i="6"/>
  <c r="AT92" i="6"/>
  <c r="AT91" i="6"/>
  <c r="AK94" i="6"/>
  <c r="AK93" i="6"/>
  <c r="AK92" i="6"/>
  <c r="AK91" i="6"/>
  <c r="AB94" i="6"/>
  <c r="AB93" i="6"/>
  <c r="AB92" i="6"/>
  <c r="AB91" i="6"/>
  <c r="S94" i="6"/>
  <c r="S93" i="6"/>
  <c r="S92" i="6"/>
  <c r="S91" i="6"/>
  <c r="J94" i="6"/>
  <c r="J93" i="6"/>
  <c r="J92" i="6"/>
  <c r="J91" i="6"/>
  <c r="J75" i="6"/>
  <c r="J74" i="6"/>
  <c r="J73" i="6"/>
  <c r="J72" i="6"/>
  <c r="S75" i="6"/>
  <c r="S74" i="6"/>
  <c r="S73" i="6"/>
  <c r="S72" i="6"/>
  <c r="AB75" i="6"/>
  <c r="AB74" i="6"/>
  <c r="AB73" i="6"/>
  <c r="AB72" i="6"/>
  <c r="AK75" i="6"/>
  <c r="AK74" i="6"/>
  <c r="AK73" i="6"/>
  <c r="AK72" i="6"/>
  <c r="AT75" i="6"/>
  <c r="AT74" i="6"/>
  <c r="AT73" i="6"/>
  <c r="AT72" i="6"/>
  <c r="AT56" i="6"/>
  <c r="AT55" i="6"/>
  <c r="AT54" i="6"/>
  <c r="AT53" i="6"/>
  <c r="AK56" i="6"/>
  <c r="AK55" i="6"/>
  <c r="AK54" i="6"/>
  <c r="AK53" i="6"/>
  <c r="AB56" i="6"/>
  <c r="AB55" i="6"/>
  <c r="AB54" i="6"/>
  <c r="AB53" i="6"/>
  <c r="S56" i="6"/>
  <c r="S55" i="6"/>
  <c r="S54" i="6"/>
  <c r="S53" i="6"/>
  <c r="J56" i="6"/>
  <c r="J55" i="6"/>
  <c r="J54" i="6"/>
  <c r="J53" i="6"/>
  <c r="J37" i="6"/>
  <c r="J36" i="6"/>
  <c r="J35" i="6"/>
  <c r="J34" i="6"/>
  <c r="S37" i="6"/>
  <c r="S36" i="6"/>
  <c r="S35" i="6"/>
  <c r="S34" i="6"/>
  <c r="AB37" i="6"/>
  <c r="AB36" i="6"/>
  <c r="AB35" i="6"/>
  <c r="AB34" i="6"/>
  <c r="AK37" i="6"/>
  <c r="AK36" i="6"/>
  <c r="AK35" i="6"/>
  <c r="AK34" i="6"/>
  <c r="AT37" i="6"/>
  <c r="AT36" i="6"/>
  <c r="AT35" i="6"/>
  <c r="AT34" i="6"/>
  <c r="AX227" i="6"/>
  <c r="AX226" i="6"/>
  <c r="AX225" i="6"/>
  <c r="AX208" i="6"/>
  <c r="AX207" i="6"/>
  <c r="AX206" i="6"/>
  <c r="AX205" i="6"/>
  <c r="AX189" i="6"/>
  <c r="AX188" i="6"/>
  <c r="AX187" i="6"/>
  <c r="AX186" i="6"/>
  <c r="AX170" i="6"/>
  <c r="AX169" i="6"/>
  <c r="AX168" i="6"/>
  <c r="AX167" i="6"/>
  <c r="AX151" i="6"/>
  <c r="AX150" i="6"/>
  <c r="AX149" i="6"/>
  <c r="AX148" i="6"/>
  <c r="AX132" i="6"/>
  <c r="AX131" i="6"/>
  <c r="AX130" i="6"/>
  <c r="AX129" i="6"/>
  <c r="AX113" i="6"/>
  <c r="AX112" i="6"/>
  <c r="AX111" i="6"/>
  <c r="AX110" i="6"/>
  <c r="AX94" i="6"/>
  <c r="AX93" i="6"/>
  <c r="AX92" i="6"/>
  <c r="AX91" i="6"/>
  <c r="AX75" i="6"/>
  <c r="AX74" i="6"/>
  <c r="AX73" i="6"/>
  <c r="AX72" i="6"/>
  <c r="AX56" i="6"/>
  <c r="AX55" i="6"/>
  <c r="AX54" i="6"/>
  <c r="AX53" i="6"/>
  <c r="AX34" i="6"/>
  <c r="AX37" i="6"/>
  <c r="AX36" i="6"/>
  <c r="AX35" i="6"/>
  <c r="AX18" i="6" l="1"/>
  <c r="AX17" i="6"/>
  <c r="AX16" i="6"/>
  <c r="AX15" i="6"/>
  <c r="AT18" i="6"/>
  <c r="AT17" i="6"/>
  <c r="AT16" i="6"/>
  <c r="AT15" i="6"/>
  <c r="AK18" i="6"/>
  <c r="AK17" i="6"/>
  <c r="AK16" i="6"/>
  <c r="AK15" i="6"/>
  <c r="S18" i="6"/>
  <c r="S17" i="6"/>
  <c r="S16" i="6"/>
  <c r="S15" i="6"/>
  <c r="J7" i="6" l="1"/>
  <c r="J18" i="6"/>
  <c r="J17" i="6"/>
  <c r="J16" i="6"/>
  <c r="J15" i="6"/>
  <c r="C101" i="6" l="1"/>
  <c r="C100" i="6" s="1"/>
  <c r="D101" i="6"/>
  <c r="D100" i="6" s="1"/>
  <c r="E101" i="6"/>
  <c r="E100" i="6" s="1"/>
  <c r="F101" i="6"/>
  <c r="F100" i="6" s="1"/>
  <c r="G101" i="6"/>
  <c r="G100" i="6" s="1"/>
  <c r="H101" i="6"/>
  <c r="H100" i="6" s="1"/>
  <c r="I101" i="6"/>
  <c r="I100" i="6" s="1"/>
  <c r="L101" i="6"/>
  <c r="L100" i="6" s="1"/>
  <c r="M101" i="6"/>
  <c r="M100" i="6" s="1"/>
  <c r="N101" i="6"/>
  <c r="N100" i="6" s="1"/>
  <c r="O101" i="6"/>
  <c r="O100" i="6" s="1"/>
  <c r="P101" i="6"/>
  <c r="P100" i="6" s="1"/>
  <c r="Q101" i="6"/>
  <c r="Q100" i="6" s="1"/>
  <c r="R101" i="6"/>
  <c r="R100" i="6" s="1"/>
  <c r="U101" i="6"/>
  <c r="U100" i="6" s="1"/>
  <c r="V101" i="6"/>
  <c r="V100" i="6" s="1"/>
  <c r="W101" i="6"/>
  <c r="W100" i="6" s="1"/>
  <c r="X101" i="6"/>
  <c r="X100" i="6" s="1"/>
  <c r="Y101" i="6"/>
  <c r="Y100" i="6" s="1"/>
  <c r="Z101" i="6"/>
  <c r="Z100" i="6" s="1"/>
  <c r="AA101" i="6"/>
  <c r="AA100" i="6" s="1"/>
  <c r="AD101" i="6"/>
  <c r="AD100" i="6" s="1"/>
  <c r="AE101" i="6"/>
  <c r="AE100" i="6" s="1"/>
  <c r="AF101" i="6"/>
  <c r="AF100" i="6" s="1"/>
  <c r="AG101" i="6"/>
  <c r="AG100" i="6" s="1"/>
  <c r="AH101" i="6"/>
  <c r="AH100" i="6" s="1"/>
  <c r="AI101" i="6"/>
  <c r="AI100" i="6" s="1"/>
  <c r="AJ101" i="6"/>
  <c r="AJ100" i="6" s="1"/>
  <c r="AM101" i="6"/>
  <c r="AM100" i="6" s="1"/>
  <c r="AN101" i="6"/>
  <c r="AN100" i="6" s="1"/>
  <c r="AO101" i="6"/>
  <c r="AO100" i="6" s="1"/>
  <c r="AP101" i="6"/>
  <c r="AP100" i="6" s="1"/>
  <c r="AQ101" i="6"/>
  <c r="AQ100" i="6" s="1"/>
  <c r="AR101" i="6"/>
  <c r="AR100" i="6" s="1"/>
  <c r="AS101" i="6"/>
  <c r="AS100" i="6" s="1"/>
  <c r="AV101" i="6"/>
  <c r="AV100" i="6" s="1"/>
  <c r="AW101" i="6"/>
  <c r="AW100" i="6" s="1"/>
  <c r="AW102" i="6" l="1"/>
  <c r="AW116" i="6"/>
  <c r="AV102" i="6"/>
  <c r="AV116" i="6"/>
  <c r="C9" i="17"/>
  <c r="C8" i="17"/>
  <c r="C7" i="17"/>
  <c r="AX116" i="6" l="1"/>
  <c r="B1" i="18"/>
  <c r="A4" i="18" l="1"/>
  <c r="A5" i="18"/>
  <c r="A11" i="18"/>
  <c r="A12" i="18" s="1"/>
  <c r="A13" i="18" s="1"/>
  <c r="A6" i="18"/>
  <c r="A7" i="18"/>
  <c r="A8" i="18"/>
  <c r="A10" i="18"/>
  <c r="A9" i="18"/>
  <c r="A3" i="18"/>
  <c r="AY23" i="6" l="1"/>
  <c r="AS82" i="6" l="1"/>
  <c r="AS81" i="6" s="1"/>
  <c r="AR82" i="6"/>
  <c r="AR81" i="6" s="1"/>
  <c r="AQ82" i="6"/>
  <c r="AQ81" i="6" s="1"/>
  <c r="AP82" i="6"/>
  <c r="AP81" i="6" s="1"/>
  <c r="AO82" i="6"/>
  <c r="AO81" i="6" s="1"/>
  <c r="AN82" i="6"/>
  <c r="AN81" i="6" s="1"/>
  <c r="AM82" i="6"/>
  <c r="AM81" i="6" s="1"/>
  <c r="AJ82" i="6"/>
  <c r="AJ81" i="6" s="1"/>
  <c r="AI82" i="6"/>
  <c r="AI81" i="6" s="1"/>
  <c r="AH82" i="6"/>
  <c r="AH81" i="6" s="1"/>
  <c r="AG82" i="6"/>
  <c r="AG81" i="6" s="1"/>
  <c r="AF82" i="6"/>
  <c r="AF81" i="6" s="1"/>
  <c r="AE82" i="6"/>
  <c r="AE81" i="6" s="1"/>
  <c r="AD82" i="6"/>
  <c r="AD81" i="6" s="1"/>
  <c r="AA82" i="6"/>
  <c r="AA81" i="6" s="1"/>
  <c r="Z82" i="6"/>
  <c r="Z81" i="6" s="1"/>
  <c r="Y82" i="6"/>
  <c r="Y81" i="6" s="1"/>
  <c r="X82" i="6"/>
  <c r="X81" i="6" s="1"/>
  <c r="W82" i="6"/>
  <c r="W81" i="6" s="1"/>
  <c r="V82" i="6"/>
  <c r="V81" i="6" s="1"/>
  <c r="U82" i="6"/>
  <c r="U81" i="6" s="1"/>
  <c r="AW82" i="6"/>
  <c r="AW81" i="6" s="1"/>
  <c r="AV82" i="6"/>
  <c r="AV81" i="6" s="1"/>
  <c r="R82" i="6"/>
  <c r="R81" i="6" s="1"/>
  <c r="Q82" i="6"/>
  <c r="Q81" i="6" s="1"/>
  <c r="P82" i="6"/>
  <c r="P81" i="6" s="1"/>
  <c r="O82" i="6"/>
  <c r="O81" i="6" s="1"/>
  <c r="N82" i="6"/>
  <c r="N81" i="6" s="1"/>
  <c r="M82" i="6"/>
  <c r="M81" i="6" s="1"/>
  <c r="L82" i="6"/>
  <c r="L81" i="6" s="1"/>
  <c r="I82" i="6"/>
  <c r="I81" i="6" s="1"/>
  <c r="H82" i="6"/>
  <c r="H81" i="6" s="1"/>
  <c r="G82" i="6"/>
  <c r="G81" i="6" s="1"/>
  <c r="F82" i="6"/>
  <c r="F81" i="6" s="1"/>
  <c r="E82" i="6"/>
  <c r="E81" i="6" s="1"/>
  <c r="D82" i="6"/>
  <c r="D81" i="6" s="1"/>
  <c r="C82" i="6"/>
  <c r="C81" i="6" s="1"/>
  <c r="C83" i="6" l="1"/>
  <c r="C97" i="6"/>
  <c r="G5" i="14"/>
  <c r="AW215" i="6" l="1"/>
  <c r="AW214" i="6" s="1"/>
  <c r="AV215" i="6"/>
  <c r="AV214" i="6" s="1"/>
  <c r="AS215" i="6"/>
  <c r="AS214" i="6" s="1"/>
  <c r="AR215" i="6"/>
  <c r="AR214" i="6" s="1"/>
  <c r="AQ215" i="6"/>
  <c r="AQ214" i="6" s="1"/>
  <c r="AP215" i="6"/>
  <c r="AP214" i="6" s="1"/>
  <c r="AO215" i="6"/>
  <c r="AO214" i="6" s="1"/>
  <c r="AN215" i="6"/>
  <c r="AN214" i="6" s="1"/>
  <c r="AM215" i="6"/>
  <c r="AM214" i="6" s="1"/>
  <c r="AJ215" i="6"/>
  <c r="AJ214" i="6" s="1"/>
  <c r="AI215" i="6"/>
  <c r="AI214" i="6" s="1"/>
  <c r="AH215" i="6"/>
  <c r="AH214" i="6" s="1"/>
  <c r="AG215" i="6"/>
  <c r="AG214" i="6" s="1"/>
  <c r="AF215" i="6"/>
  <c r="AF214" i="6" s="1"/>
  <c r="AE215" i="6"/>
  <c r="AE214" i="6" s="1"/>
  <c r="AD215" i="6"/>
  <c r="AD214" i="6" s="1"/>
  <c r="AA215" i="6"/>
  <c r="AA214" i="6" s="1"/>
  <c r="Z215" i="6"/>
  <c r="Z214" i="6" s="1"/>
  <c r="Y215" i="6"/>
  <c r="Y214" i="6" s="1"/>
  <c r="X215" i="6"/>
  <c r="X214" i="6" s="1"/>
  <c r="W215" i="6"/>
  <c r="W214" i="6" s="1"/>
  <c r="V215" i="6"/>
  <c r="V214" i="6" s="1"/>
  <c r="U215" i="6"/>
  <c r="U214" i="6" s="1"/>
  <c r="R215" i="6"/>
  <c r="R214" i="6" s="1"/>
  <c r="Q215" i="6"/>
  <c r="Q214" i="6" s="1"/>
  <c r="P215" i="6"/>
  <c r="P214" i="6" s="1"/>
  <c r="O215" i="6"/>
  <c r="O214" i="6" s="1"/>
  <c r="N215" i="6"/>
  <c r="N214" i="6" s="1"/>
  <c r="M215" i="6"/>
  <c r="M214" i="6" s="1"/>
  <c r="L215" i="6"/>
  <c r="L214" i="6" s="1"/>
  <c r="I215" i="6"/>
  <c r="I214" i="6" s="1"/>
  <c r="H215" i="6"/>
  <c r="H214" i="6" s="1"/>
  <c r="G215" i="6"/>
  <c r="G214" i="6" s="1"/>
  <c r="F215" i="6"/>
  <c r="F214" i="6" s="1"/>
  <c r="E215" i="6"/>
  <c r="E214" i="6" s="1"/>
  <c r="D215" i="6"/>
  <c r="D214" i="6" s="1"/>
  <c r="C215" i="6"/>
  <c r="C214" i="6" s="1"/>
  <c r="AW196" i="6"/>
  <c r="AW195" i="6" s="1"/>
  <c r="AV196" i="6"/>
  <c r="AV195" i="6" s="1"/>
  <c r="AS196" i="6"/>
  <c r="AS195" i="6" s="1"/>
  <c r="AR196" i="6"/>
  <c r="AR195" i="6" s="1"/>
  <c r="AQ196" i="6"/>
  <c r="AQ195" i="6" s="1"/>
  <c r="AP196" i="6"/>
  <c r="AP195" i="6" s="1"/>
  <c r="AO196" i="6"/>
  <c r="AO195" i="6" s="1"/>
  <c r="AN196" i="6"/>
  <c r="AN195" i="6" s="1"/>
  <c r="AM196" i="6"/>
  <c r="AM195" i="6" s="1"/>
  <c r="AJ196" i="6"/>
  <c r="AJ195" i="6" s="1"/>
  <c r="AI196" i="6"/>
  <c r="AI195" i="6" s="1"/>
  <c r="AH196" i="6"/>
  <c r="AH195" i="6" s="1"/>
  <c r="AG196" i="6"/>
  <c r="AG195" i="6" s="1"/>
  <c r="AF196" i="6"/>
  <c r="AF195" i="6" s="1"/>
  <c r="AE196" i="6"/>
  <c r="AE195" i="6" s="1"/>
  <c r="AD196" i="6"/>
  <c r="AD195" i="6" s="1"/>
  <c r="AA196" i="6"/>
  <c r="AA195" i="6" s="1"/>
  <c r="Z196" i="6"/>
  <c r="Z195" i="6" s="1"/>
  <c r="Y196" i="6"/>
  <c r="Y195" i="6" s="1"/>
  <c r="X196" i="6"/>
  <c r="X195" i="6" s="1"/>
  <c r="W196" i="6"/>
  <c r="W195" i="6" s="1"/>
  <c r="V196" i="6"/>
  <c r="V195" i="6" s="1"/>
  <c r="U196" i="6"/>
  <c r="U195" i="6" s="1"/>
  <c r="R196" i="6"/>
  <c r="R195" i="6" s="1"/>
  <c r="Q196" i="6"/>
  <c r="Q195" i="6" s="1"/>
  <c r="P196" i="6"/>
  <c r="P195" i="6" s="1"/>
  <c r="O196" i="6"/>
  <c r="O195" i="6" s="1"/>
  <c r="N196" i="6"/>
  <c r="N195" i="6" s="1"/>
  <c r="M196" i="6"/>
  <c r="M195" i="6" s="1"/>
  <c r="L196" i="6"/>
  <c r="L195" i="6" s="1"/>
  <c r="I196" i="6"/>
  <c r="I195" i="6" s="1"/>
  <c r="H196" i="6"/>
  <c r="H195" i="6" s="1"/>
  <c r="G196" i="6"/>
  <c r="G195" i="6" s="1"/>
  <c r="F196" i="6"/>
  <c r="F195" i="6" s="1"/>
  <c r="E196" i="6"/>
  <c r="E195" i="6" s="1"/>
  <c r="D196" i="6"/>
  <c r="D195" i="6" s="1"/>
  <c r="C196" i="6"/>
  <c r="C195" i="6" s="1"/>
  <c r="AW177" i="6"/>
  <c r="AW176" i="6" s="1"/>
  <c r="AV177" i="6"/>
  <c r="AV176" i="6" s="1"/>
  <c r="AS177" i="6"/>
  <c r="AS176" i="6" s="1"/>
  <c r="AR177" i="6"/>
  <c r="AR176" i="6" s="1"/>
  <c r="AQ177" i="6"/>
  <c r="AQ176" i="6" s="1"/>
  <c r="AP177" i="6"/>
  <c r="AP176" i="6" s="1"/>
  <c r="AO177" i="6"/>
  <c r="AO176" i="6" s="1"/>
  <c r="AN177" i="6"/>
  <c r="AN176" i="6" s="1"/>
  <c r="AM177" i="6"/>
  <c r="AM176" i="6" s="1"/>
  <c r="AJ177" i="6"/>
  <c r="AJ176" i="6" s="1"/>
  <c r="AI177" i="6"/>
  <c r="AI176" i="6" s="1"/>
  <c r="AH177" i="6"/>
  <c r="AH176" i="6" s="1"/>
  <c r="AG177" i="6"/>
  <c r="AG176" i="6" s="1"/>
  <c r="AF177" i="6"/>
  <c r="AF176" i="6" s="1"/>
  <c r="AE177" i="6"/>
  <c r="AE176" i="6" s="1"/>
  <c r="AD177" i="6"/>
  <c r="AD176" i="6" s="1"/>
  <c r="AA177" i="6"/>
  <c r="AA176" i="6" s="1"/>
  <c r="Z177" i="6"/>
  <c r="Z176" i="6" s="1"/>
  <c r="Y177" i="6"/>
  <c r="Y176" i="6" s="1"/>
  <c r="X177" i="6"/>
  <c r="X176" i="6" s="1"/>
  <c r="W177" i="6"/>
  <c r="W176" i="6" s="1"/>
  <c r="V177" i="6"/>
  <c r="V176" i="6" s="1"/>
  <c r="U177" i="6"/>
  <c r="U176" i="6" s="1"/>
  <c r="R177" i="6"/>
  <c r="R176" i="6" s="1"/>
  <c r="Q177" i="6"/>
  <c r="Q176" i="6" s="1"/>
  <c r="P177" i="6"/>
  <c r="P176" i="6" s="1"/>
  <c r="O177" i="6"/>
  <c r="O176" i="6" s="1"/>
  <c r="N177" i="6"/>
  <c r="N176" i="6" s="1"/>
  <c r="M177" i="6"/>
  <c r="M176" i="6" s="1"/>
  <c r="L177" i="6"/>
  <c r="L176" i="6" s="1"/>
  <c r="I177" i="6"/>
  <c r="I176" i="6" s="1"/>
  <c r="H177" i="6"/>
  <c r="H176" i="6" s="1"/>
  <c r="G177" i="6"/>
  <c r="G176" i="6" s="1"/>
  <c r="F177" i="6"/>
  <c r="F176" i="6" s="1"/>
  <c r="E177" i="6"/>
  <c r="E176" i="6" s="1"/>
  <c r="D177" i="6"/>
  <c r="D176" i="6" s="1"/>
  <c r="C177" i="6"/>
  <c r="C176" i="6" s="1"/>
  <c r="AW158" i="6"/>
  <c r="AW157" i="6" s="1"/>
  <c r="AV158" i="6"/>
  <c r="AV157" i="6" s="1"/>
  <c r="AS158" i="6"/>
  <c r="AS157" i="6" s="1"/>
  <c r="AR158" i="6"/>
  <c r="AR157" i="6" s="1"/>
  <c r="AQ158" i="6"/>
  <c r="AQ157" i="6" s="1"/>
  <c r="AP158" i="6"/>
  <c r="AP157" i="6" s="1"/>
  <c r="AO158" i="6"/>
  <c r="AO157" i="6" s="1"/>
  <c r="AN158" i="6"/>
  <c r="AN157" i="6" s="1"/>
  <c r="AM158" i="6"/>
  <c r="AM157" i="6" s="1"/>
  <c r="AJ158" i="6"/>
  <c r="AJ157" i="6" s="1"/>
  <c r="AI158" i="6"/>
  <c r="AI157" i="6" s="1"/>
  <c r="AH158" i="6"/>
  <c r="AH157" i="6" s="1"/>
  <c r="AG158" i="6"/>
  <c r="AG157" i="6" s="1"/>
  <c r="AF158" i="6"/>
  <c r="AF157" i="6" s="1"/>
  <c r="AE158" i="6"/>
  <c r="AE157" i="6" s="1"/>
  <c r="AD158" i="6"/>
  <c r="AD157" i="6" s="1"/>
  <c r="AA158" i="6"/>
  <c r="AA157" i="6" s="1"/>
  <c r="Z158" i="6"/>
  <c r="Z157" i="6" s="1"/>
  <c r="Y158" i="6"/>
  <c r="Y157" i="6" s="1"/>
  <c r="X158" i="6"/>
  <c r="X157" i="6" s="1"/>
  <c r="W158" i="6"/>
  <c r="W157" i="6" s="1"/>
  <c r="V158" i="6"/>
  <c r="V157" i="6" s="1"/>
  <c r="U158" i="6"/>
  <c r="U157" i="6" s="1"/>
  <c r="R158" i="6"/>
  <c r="R157" i="6" s="1"/>
  <c r="Q158" i="6"/>
  <c r="Q157" i="6" s="1"/>
  <c r="P158" i="6"/>
  <c r="P157" i="6" s="1"/>
  <c r="O158" i="6"/>
  <c r="O157" i="6" s="1"/>
  <c r="N158" i="6"/>
  <c r="N157" i="6" s="1"/>
  <c r="M158" i="6"/>
  <c r="M157" i="6" s="1"/>
  <c r="L158" i="6"/>
  <c r="L157" i="6" s="1"/>
  <c r="I158" i="6"/>
  <c r="I157" i="6" s="1"/>
  <c r="H158" i="6"/>
  <c r="H157" i="6" s="1"/>
  <c r="G158" i="6"/>
  <c r="G157" i="6" s="1"/>
  <c r="F158" i="6"/>
  <c r="F157" i="6" s="1"/>
  <c r="E158" i="6"/>
  <c r="E157" i="6" s="1"/>
  <c r="D158" i="6"/>
  <c r="D157" i="6" s="1"/>
  <c r="C158" i="6"/>
  <c r="C157" i="6" s="1"/>
  <c r="AW139" i="6"/>
  <c r="AW138" i="6" s="1"/>
  <c r="AV139" i="6"/>
  <c r="AV138" i="6" s="1"/>
  <c r="AS139" i="6"/>
  <c r="AS138" i="6" s="1"/>
  <c r="AR139" i="6"/>
  <c r="AR138" i="6" s="1"/>
  <c r="AQ139" i="6"/>
  <c r="AQ138" i="6" s="1"/>
  <c r="AP139" i="6"/>
  <c r="AP138" i="6" s="1"/>
  <c r="AO139" i="6"/>
  <c r="AO138" i="6" s="1"/>
  <c r="AN139" i="6"/>
  <c r="AN138" i="6" s="1"/>
  <c r="AM139" i="6"/>
  <c r="AM138" i="6" s="1"/>
  <c r="AJ139" i="6"/>
  <c r="AJ138" i="6" s="1"/>
  <c r="AI139" i="6"/>
  <c r="AI138" i="6" s="1"/>
  <c r="AH139" i="6"/>
  <c r="AH138" i="6" s="1"/>
  <c r="AG139" i="6"/>
  <c r="AG138" i="6" s="1"/>
  <c r="AF139" i="6"/>
  <c r="AF138" i="6" s="1"/>
  <c r="AE139" i="6"/>
  <c r="AE138" i="6" s="1"/>
  <c r="AD139" i="6"/>
  <c r="AD138" i="6" s="1"/>
  <c r="AA139" i="6"/>
  <c r="AA138" i="6" s="1"/>
  <c r="Z139" i="6"/>
  <c r="Z138" i="6" s="1"/>
  <c r="Y139" i="6"/>
  <c r="Y138" i="6" s="1"/>
  <c r="X139" i="6"/>
  <c r="X138" i="6" s="1"/>
  <c r="W139" i="6"/>
  <c r="W138" i="6" s="1"/>
  <c r="V139" i="6"/>
  <c r="V138" i="6" s="1"/>
  <c r="U139" i="6"/>
  <c r="U138" i="6" s="1"/>
  <c r="R139" i="6"/>
  <c r="R138" i="6" s="1"/>
  <c r="Q139" i="6"/>
  <c r="Q138" i="6" s="1"/>
  <c r="P139" i="6"/>
  <c r="P138" i="6" s="1"/>
  <c r="O139" i="6"/>
  <c r="O138" i="6" s="1"/>
  <c r="N139" i="6"/>
  <c r="N138" i="6" s="1"/>
  <c r="M139" i="6"/>
  <c r="M138" i="6" s="1"/>
  <c r="L139" i="6"/>
  <c r="L138" i="6" s="1"/>
  <c r="I139" i="6"/>
  <c r="I138" i="6" s="1"/>
  <c r="H139" i="6"/>
  <c r="H138" i="6" s="1"/>
  <c r="G139" i="6"/>
  <c r="G138" i="6" s="1"/>
  <c r="F139" i="6"/>
  <c r="F138" i="6" s="1"/>
  <c r="E139" i="6"/>
  <c r="E138" i="6" s="1"/>
  <c r="D139" i="6"/>
  <c r="D138" i="6" s="1"/>
  <c r="C139" i="6"/>
  <c r="C138" i="6" s="1"/>
  <c r="AW120" i="6"/>
  <c r="AW119" i="6" s="1"/>
  <c r="AV120" i="6"/>
  <c r="AV119" i="6" s="1"/>
  <c r="AS120" i="6"/>
  <c r="AS119" i="6" s="1"/>
  <c r="AR120" i="6"/>
  <c r="AR119" i="6" s="1"/>
  <c r="AQ120" i="6"/>
  <c r="AQ119" i="6" s="1"/>
  <c r="AP120" i="6"/>
  <c r="AP119" i="6" s="1"/>
  <c r="AO120" i="6"/>
  <c r="AO119" i="6" s="1"/>
  <c r="AN120" i="6"/>
  <c r="AN119" i="6" s="1"/>
  <c r="AM120" i="6"/>
  <c r="AM119" i="6" s="1"/>
  <c r="AJ120" i="6"/>
  <c r="AJ119" i="6" s="1"/>
  <c r="AI120" i="6"/>
  <c r="AI119" i="6" s="1"/>
  <c r="AH120" i="6"/>
  <c r="AH119" i="6" s="1"/>
  <c r="AG120" i="6"/>
  <c r="AG119" i="6" s="1"/>
  <c r="AF120" i="6"/>
  <c r="AF119" i="6" s="1"/>
  <c r="AE120" i="6"/>
  <c r="AE119" i="6" s="1"/>
  <c r="AD120" i="6"/>
  <c r="AD119" i="6" s="1"/>
  <c r="AA120" i="6"/>
  <c r="AA119" i="6" s="1"/>
  <c r="Z120" i="6"/>
  <c r="Z119" i="6" s="1"/>
  <c r="Y120" i="6"/>
  <c r="Y119" i="6" s="1"/>
  <c r="X120" i="6"/>
  <c r="X119" i="6" s="1"/>
  <c r="W120" i="6"/>
  <c r="W119" i="6" s="1"/>
  <c r="V120" i="6"/>
  <c r="V119" i="6" s="1"/>
  <c r="U120" i="6"/>
  <c r="U119" i="6" s="1"/>
  <c r="R120" i="6"/>
  <c r="R119" i="6" s="1"/>
  <c r="Q120" i="6"/>
  <c r="Q119" i="6" s="1"/>
  <c r="P120" i="6"/>
  <c r="P119" i="6" s="1"/>
  <c r="O120" i="6"/>
  <c r="O119" i="6" s="1"/>
  <c r="N120" i="6"/>
  <c r="N119" i="6" s="1"/>
  <c r="M120" i="6"/>
  <c r="M119" i="6" s="1"/>
  <c r="L120" i="6"/>
  <c r="L119" i="6" s="1"/>
  <c r="I120" i="6"/>
  <c r="I119" i="6" s="1"/>
  <c r="H120" i="6"/>
  <c r="H119" i="6" s="1"/>
  <c r="G120" i="6"/>
  <c r="G119" i="6" s="1"/>
  <c r="F120" i="6"/>
  <c r="F119" i="6" s="1"/>
  <c r="E120" i="6"/>
  <c r="E119" i="6" s="1"/>
  <c r="D120" i="6"/>
  <c r="D119" i="6" s="1"/>
  <c r="C120" i="6"/>
  <c r="C119" i="6" s="1"/>
  <c r="AW63" i="6"/>
  <c r="AW62" i="6" s="1"/>
  <c r="AV63" i="6"/>
  <c r="AV62" i="6" s="1"/>
  <c r="AS63" i="6"/>
  <c r="AS62" i="6" s="1"/>
  <c r="AR63" i="6"/>
  <c r="AR62" i="6" s="1"/>
  <c r="AQ63" i="6"/>
  <c r="AQ62" i="6" s="1"/>
  <c r="AP63" i="6"/>
  <c r="AP62" i="6" s="1"/>
  <c r="AO63" i="6"/>
  <c r="AO62" i="6" s="1"/>
  <c r="AN63" i="6"/>
  <c r="AN62" i="6" s="1"/>
  <c r="AM63" i="6"/>
  <c r="AM62" i="6" s="1"/>
  <c r="AJ63" i="6"/>
  <c r="AJ62" i="6" s="1"/>
  <c r="AI63" i="6"/>
  <c r="AI62" i="6" s="1"/>
  <c r="AH63" i="6"/>
  <c r="AH62" i="6" s="1"/>
  <c r="AG63" i="6"/>
  <c r="AG62" i="6" s="1"/>
  <c r="AF63" i="6"/>
  <c r="AF62" i="6" s="1"/>
  <c r="AE63" i="6"/>
  <c r="AE62" i="6" s="1"/>
  <c r="AD63" i="6"/>
  <c r="AD62" i="6" s="1"/>
  <c r="AA63" i="6"/>
  <c r="AA62" i="6" s="1"/>
  <c r="Z63" i="6"/>
  <c r="Z62" i="6" s="1"/>
  <c r="Y63" i="6"/>
  <c r="Y62" i="6" s="1"/>
  <c r="X63" i="6"/>
  <c r="X62" i="6" s="1"/>
  <c r="W63" i="6"/>
  <c r="W62" i="6" s="1"/>
  <c r="V63" i="6"/>
  <c r="V62" i="6" s="1"/>
  <c r="U63" i="6"/>
  <c r="U62" i="6" s="1"/>
  <c r="R63" i="6"/>
  <c r="R62" i="6" s="1"/>
  <c r="Q63" i="6"/>
  <c r="Q62" i="6" s="1"/>
  <c r="P63" i="6"/>
  <c r="P62" i="6" s="1"/>
  <c r="O63" i="6"/>
  <c r="O62" i="6" s="1"/>
  <c r="N63" i="6"/>
  <c r="N62" i="6" s="1"/>
  <c r="M63" i="6"/>
  <c r="M62" i="6" s="1"/>
  <c r="L63" i="6"/>
  <c r="L62" i="6" s="1"/>
  <c r="I63" i="6"/>
  <c r="I62" i="6" s="1"/>
  <c r="H63" i="6"/>
  <c r="H62" i="6" s="1"/>
  <c r="G63" i="6"/>
  <c r="G62" i="6" s="1"/>
  <c r="F63" i="6"/>
  <c r="F62" i="6" s="1"/>
  <c r="E63" i="6"/>
  <c r="E62" i="6" s="1"/>
  <c r="D63" i="6"/>
  <c r="D62" i="6" s="1"/>
  <c r="C63" i="6"/>
  <c r="C62" i="6" s="1"/>
  <c r="AW44" i="6"/>
  <c r="AW43" i="6" s="1"/>
  <c r="AV44" i="6"/>
  <c r="AV43" i="6" s="1"/>
  <c r="AS44" i="6"/>
  <c r="AS43" i="6" s="1"/>
  <c r="AR44" i="6"/>
  <c r="AR43" i="6" s="1"/>
  <c r="AQ44" i="6"/>
  <c r="AQ43" i="6" s="1"/>
  <c r="AP44" i="6"/>
  <c r="AP43" i="6" s="1"/>
  <c r="AO44" i="6"/>
  <c r="AO43" i="6" s="1"/>
  <c r="AN44" i="6"/>
  <c r="AN43" i="6" s="1"/>
  <c r="AM44" i="6"/>
  <c r="AM43" i="6" s="1"/>
  <c r="AJ44" i="6"/>
  <c r="AJ43" i="6" s="1"/>
  <c r="AI44" i="6"/>
  <c r="AI43" i="6" s="1"/>
  <c r="AH44" i="6"/>
  <c r="AH43" i="6" s="1"/>
  <c r="AG44" i="6"/>
  <c r="AG43" i="6" s="1"/>
  <c r="AF44" i="6"/>
  <c r="AF43" i="6" s="1"/>
  <c r="AE44" i="6"/>
  <c r="AE43" i="6" s="1"/>
  <c r="AD44" i="6"/>
  <c r="AD43" i="6" s="1"/>
  <c r="AA44" i="6"/>
  <c r="AA43" i="6" s="1"/>
  <c r="Z44" i="6"/>
  <c r="Z43" i="6" s="1"/>
  <c r="Y44" i="6"/>
  <c r="Y43" i="6" s="1"/>
  <c r="X44" i="6"/>
  <c r="X43" i="6" s="1"/>
  <c r="W44" i="6"/>
  <c r="W43" i="6" s="1"/>
  <c r="V44" i="6"/>
  <c r="V43" i="6" s="1"/>
  <c r="U44" i="6"/>
  <c r="U43" i="6" s="1"/>
  <c r="R44" i="6"/>
  <c r="R43" i="6" s="1"/>
  <c r="Q44" i="6"/>
  <c r="Q43" i="6" s="1"/>
  <c r="P44" i="6"/>
  <c r="P43" i="6" s="1"/>
  <c r="O44" i="6"/>
  <c r="O43" i="6" s="1"/>
  <c r="N44" i="6"/>
  <c r="N43" i="6" s="1"/>
  <c r="M44" i="6"/>
  <c r="M43" i="6" s="1"/>
  <c r="L44" i="6"/>
  <c r="L43" i="6" s="1"/>
  <c r="I44" i="6"/>
  <c r="I43" i="6" s="1"/>
  <c r="H44" i="6"/>
  <c r="H43" i="6" s="1"/>
  <c r="G44" i="6"/>
  <c r="G43" i="6" s="1"/>
  <c r="F44" i="6"/>
  <c r="F43" i="6" s="1"/>
  <c r="E44" i="6"/>
  <c r="E43" i="6" s="1"/>
  <c r="D44" i="6"/>
  <c r="D43" i="6" s="1"/>
  <c r="C44" i="6"/>
  <c r="C43" i="6" s="1"/>
  <c r="AW25" i="6"/>
  <c r="AW24" i="6" s="1"/>
  <c r="AV25" i="6"/>
  <c r="AV24" i="6" s="1"/>
  <c r="AS25" i="6"/>
  <c r="AR25" i="6"/>
  <c r="AR24" i="6" s="1"/>
  <c r="AQ25" i="6"/>
  <c r="AQ24" i="6" s="1"/>
  <c r="AP25" i="6"/>
  <c r="AP24" i="6" s="1"/>
  <c r="AO25" i="6"/>
  <c r="AO24" i="6" s="1"/>
  <c r="AN25" i="6"/>
  <c r="AN24" i="6" s="1"/>
  <c r="AM25" i="6"/>
  <c r="AM24" i="6" s="1"/>
  <c r="AJ25" i="6"/>
  <c r="AJ24" i="6" s="1"/>
  <c r="AI25" i="6"/>
  <c r="AI24" i="6" s="1"/>
  <c r="AH25" i="6"/>
  <c r="AH24" i="6" s="1"/>
  <c r="AG25" i="6"/>
  <c r="AG24" i="6" s="1"/>
  <c r="AF25" i="6"/>
  <c r="AF24" i="6" s="1"/>
  <c r="AE25" i="6"/>
  <c r="AE24" i="6" s="1"/>
  <c r="AD25" i="6"/>
  <c r="AD24" i="6" s="1"/>
  <c r="AA25" i="6"/>
  <c r="AA24" i="6" s="1"/>
  <c r="Z25" i="6"/>
  <c r="Z24" i="6" s="1"/>
  <c r="Y25" i="6"/>
  <c r="Y24" i="6" s="1"/>
  <c r="X25" i="6"/>
  <c r="X24" i="6" s="1"/>
  <c r="W25" i="6"/>
  <c r="W24" i="6" s="1"/>
  <c r="V25" i="6"/>
  <c r="V24" i="6" s="1"/>
  <c r="U25" i="6"/>
  <c r="U24" i="6" s="1"/>
  <c r="R25" i="6"/>
  <c r="R24" i="6" s="1"/>
  <c r="Q25" i="6"/>
  <c r="Q24" i="6" s="1"/>
  <c r="P25" i="6"/>
  <c r="P24" i="6" s="1"/>
  <c r="O25" i="6"/>
  <c r="O24" i="6" s="1"/>
  <c r="N25" i="6"/>
  <c r="N24" i="6" s="1"/>
  <c r="M25" i="6"/>
  <c r="M24" i="6" s="1"/>
  <c r="L25" i="6"/>
  <c r="L24" i="6" s="1"/>
  <c r="I25" i="6"/>
  <c r="I24" i="6" s="1"/>
  <c r="H25" i="6"/>
  <c r="H24" i="6" s="1"/>
  <c r="G25" i="6"/>
  <c r="G24" i="6" s="1"/>
  <c r="F25" i="6"/>
  <c r="F24" i="6" s="1"/>
  <c r="E25" i="6"/>
  <c r="E24" i="6" s="1"/>
  <c r="D25" i="6"/>
  <c r="D24" i="6" s="1"/>
  <c r="C25" i="6"/>
  <c r="C24" i="6" s="1"/>
  <c r="AW6" i="6"/>
  <c r="AV6" i="6"/>
  <c r="AV5" i="6" s="1"/>
  <c r="AS6" i="6"/>
  <c r="AS5" i="6" s="1"/>
  <c r="AR6" i="6"/>
  <c r="AR5" i="6" s="1"/>
  <c r="AQ6" i="6"/>
  <c r="AQ5" i="6" s="1"/>
  <c r="AP6" i="6"/>
  <c r="AP5" i="6" s="1"/>
  <c r="AO6" i="6"/>
  <c r="AO5" i="6" s="1"/>
  <c r="AN6" i="6"/>
  <c r="AN5" i="6" s="1"/>
  <c r="AM6" i="6"/>
  <c r="AM5" i="6" s="1"/>
  <c r="AJ6" i="6"/>
  <c r="AJ5" i="6" s="1"/>
  <c r="AI6" i="6"/>
  <c r="AI5" i="6" s="1"/>
  <c r="AH6" i="6"/>
  <c r="AH5" i="6" s="1"/>
  <c r="AG6" i="6"/>
  <c r="AG5" i="6" s="1"/>
  <c r="AF6" i="6"/>
  <c r="AF5" i="6" s="1"/>
  <c r="AE6" i="6"/>
  <c r="AE5" i="6" s="1"/>
  <c r="AD6" i="6"/>
  <c r="AD5" i="6" s="1"/>
  <c r="AA6" i="6"/>
  <c r="AA5" i="6" s="1"/>
  <c r="Z6" i="6"/>
  <c r="Z5" i="6" s="1"/>
  <c r="Y6" i="6"/>
  <c r="Y5" i="6" s="1"/>
  <c r="X6" i="6"/>
  <c r="X5" i="6" s="1"/>
  <c r="W6" i="6"/>
  <c r="W5" i="6" s="1"/>
  <c r="V6" i="6"/>
  <c r="V5" i="6" s="1"/>
  <c r="U6" i="6"/>
  <c r="U5" i="6" s="1"/>
  <c r="R6" i="6"/>
  <c r="R5" i="6" s="1"/>
  <c r="Q6" i="6"/>
  <c r="Q5" i="6" s="1"/>
  <c r="P6" i="6"/>
  <c r="P5" i="6" s="1"/>
  <c r="O6" i="6"/>
  <c r="O5" i="6" s="1"/>
  <c r="N6" i="6"/>
  <c r="N5" i="6" s="1"/>
  <c r="M6" i="6"/>
  <c r="M5" i="6" s="1"/>
  <c r="L6" i="6"/>
  <c r="L5" i="6" s="1"/>
  <c r="K5" i="6" s="1"/>
  <c r="S7" i="6" s="1"/>
  <c r="I6" i="6"/>
  <c r="H6" i="6"/>
  <c r="G6" i="6"/>
  <c r="F6" i="6"/>
  <c r="E6" i="6"/>
  <c r="D6" i="6"/>
  <c r="C6" i="6"/>
  <c r="T5" i="6" l="1"/>
  <c r="F10" i="6"/>
  <c r="F5" i="6"/>
  <c r="AS26" i="6"/>
  <c r="AS24" i="6"/>
  <c r="E5" i="6"/>
  <c r="C7" i="6"/>
  <c r="C5" i="6"/>
  <c r="G10" i="6"/>
  <c r="G5" i="6"/>
  <c r="AW7" i="6"/>
  <c r="AW5" i="6"/>
  <c r="I5" i="6"/>
  <c r="D5" i="6"/>
  <c r="H5" i="6"/>
  <c r="AV26" i="6"/>
  <c r="AV40" i="6"/>
  <c r="AW197" i="6"/>
  <c r="AW211" i="6"/>
  <c r="AW64" i="6"/>
  <c r="AW78" i="6"/>
  <c r="AW178" i="6"/>
  <c r="AW192" i="6"/>
  <c r="AW26" i="6"/>
  <c r="AW40" i="6"/>
  <c r="C216" i="6"/>
  <c r="C230" i="6"/>
  <c r="C159" i="6"/>
  <c r="C173" i="6"/>
  <c r="AW159" i="6"/>
  <c r="AW173" i="6"/>
  <c r="F21" i="6"/>
  <c r="E21" i="6"/>
  <c r="C21" i="6"/>
  <c r="G21" i="6"/>
  <c r="D21" i="6"/>
  <c r="AX45" i="6"/>
  <c r="AX197" i="6"/>
  <c r="AX140" i="6"/>
  <c r="AX216" i="6"/>
  <c r="AX83" i="6"/>
  <c r="AX26" i="6"/>
  <c r="AX178" i="6"/>
  <c r="AX121" i="6"/>
  <c r="AX64" i="6"/>
  <c r="AX159" i="6"/>
  <c r="P7" i="6"/>
  <c r="P8" i="6" s="1"/>
  <c r="AC5" i="6" l="1"/>
  <c r="AB7" i="6"/>
  <c r="W7" i="6"/>
  <c r="W8" i="6" s="1"/>
  <c r="Y7" i="6"/>
  <c r="Y8" i="6" s="1"/>
  <c r="U7" i="6"/>
  <c r="U8" i="6" s="1"/>
  <c r="X7" i="6"/>
  <c r="X8" i="6" s="1"/>
  <c r="V7" i="6"/>
  <c r="V8" i="6" s="1"/>
  <c r="Z7" i="6"/>
  <c r="Z8" i="6" s="1"/>
  <c r="AX40" i="6"/>
  <c r="O7" i="6"/>
  <c r="O8" i="6" s="1"/>
  <c r="N21" i="6"/>
  <c r="O21" i="6"/>
  <c r="M21" i="6"/>
  <c r="L7" i="6"/>
  <c r="L8" i="6" s="1"/>
  <c r="Q7" i="6"/>
  <c r="Q8" i="6" s="1"/>
  <c r="N7" i="6"/>
  <c r="N8" i="6" s="1"/>
  <c r="L21" i="6"/>
  <c r="M7" i="6"/>
  <c r="M8" i="6" s="1"/>
  <c r="P21" i="6"/>
  <c r="J21" i="6"/>
  <c r="Z10" i="6" l="1"/>
  <c r="Z9" i="6" s="1"/>
  <c r="Y10" i="6"/>
  <c r="Y9" i="6" s="1"/>
  <c r="V10" i="6"/>
  <c r="V9" i="6" s="1"/>
  <c r="W10" i="6"/>
  <c r="W9" i="6" s="1"/>
  <c r="X10" i="6"/>
  <c r="X9" i="6" s="1"/>
  <c r="U10" i="6"/>
  <c r="U9" i="6" s="1"/>
  <c r="AL5" i="6"/>
  <c r="AK7" i="6"/>
  <c r="U21" i="6"/>
  <c r="W21" i="6"/>
  <c r="X21" i="6"/>
  <c r="V21" i="6"/>
  <c r="Y21" i="6"/>
  <c r="S21" i="6"/>
  <c r="AW200" i="6"/>
  <c r="AW162" i="6"/>
  <c r="AW67" i="6"/>
  <c r="AB21" i="6" l="1"/>
  <c r="AU5" i="6"/>
  <c r="B24" i="6" s="1"/>
  <c r="AT7" i="6"/>
  <c r="AR7" i="6"/>
  <c r="AS7" i="6"/>
  <c r="AQ7" i="6"/>
  <c r="AQ21" i="6"/>
  <c r="AV7" i="6"/>
  <c r="AP7" i="6"/>
  <c r="AP21" i="6"/>
  <c r="M10" i="6"/>
  <c r="H10" i="6"/>
  <c r="E10" i="6"/>
  <c r="D10" i="6"/>
  <c r="C10" i="6"/>
  <c r="AW29" i="6"/>
  <c r="AV29" i="6"/>
  <c r="K24" i="6" l="1"/>
  <c r="J26" i="6"/>
  <c r="I14" i="6"/>
  <c r="J14" i="6" s="1"/>
  <c r="AX29" i="6"/>
  <c r="AX30" i="6" s="1"/>
  <c r="AX31" i="6" s="1"/>
  <c r="AX32" i="6" s="1"/>
  <c r="J10" i="6"/>
  <c r="C8" i="6"/>
  <c r="T24" i="6" l="1"/>
  <c r="S26" i="6"/>
  <c r="J11" i="6"/>
  <c r="J12" i="6" s="1"/>
  <c r="J13" i="6" s="1"/>
  <c r="AW223" i="6"/>
  <c r="AV223" i="6"/>
  <c r="AR223" i="6"/>
  <c r="AQ223" i="6"/>
  <c r="AP223" i="6"/>
  <c r="AO223" i="6"/>
  <c r="AN223" i="6"/>
  <c r="AM223" i="6"/>
  <c r="AI223" i="6"/>
  <c r="AH223" i="6"/>
  <c r="AG223" i="6"/>
  <c r="AF223" i="6"/>
  <c r="AE223" i="6"/>
  <c r="AD223" i="6"/>
  <c r="Z223" i="6"/>
  <c r="Y223" i="6"/>
  <c r="X223" i="6"/>
  <c r="W223" i="6"/>
  <c r="V223" i="6"/>
  <c r="U223" i="6"/>
  <c r="Q223" i="6"/>
  <c r="P223" i="6"/>
  <c r="O223" i="6"/>
  <c r="N223" i="6"/>
  <c r="M223" i="6"/>
  <c r="L223" i="6"/>
  <c r="H223" i="6"/>
  <c r="G223" i="6"/>
  <c r="F223" i="6"/>
  <c r="E223" i="6"/>
  <c r="D223" i="6"/>
  <c r="C223" i="6"/>
  <c r="AW204" i="6"/>
  <c r="AV204" i="6"/>
  <c r="AR204" i="6"/>
  <c r="AQ204" i="6"/>
  <c r="AP204" i="6"/>
  <c r="AO204" i="6"/>
  <c r="AN204" i="6"/>
  <c r="AM204" i="6"/>
  <c r="AI204" i="6"/>
  <c r="AH204" i="6"/>
  <c r="AG204" i="6"/>
  <c r="AF204" i="6"/>
  <c r="AE204" i="6"/>
  <c r="AD204" i="6"/>
  <c r="Z204" i="6"/>
  <c r="Y204" i="6"/>
  <c r="X204" i="6"/>
  <c r="W204" i="6"/>
  <c r="V204" i="6"/>
  <c r="U204" i="6"/>
  <c r="Q204" i="6"/>
  <c r="P204" i="6"/>
  <c r="O204" i="6"/>
  <c r="N204" i="6"/>
  <c r="M204" i="6"/>
  <c r="L204" i="6"/>
  <c r="H204" i="6"/>
  <c r="G204" i="6"/>
  <c r="F204" i="6"/>
  <c r="E204" i="6"/>
  <c r="D204" i="6"/>
  <c r="C204" i="6"/>
  <c r="AW185" i="6"/>
  <c r="AV185" i="6"/>
  <c r="AR185" i="6"/>
  <c r="AQ185" i="6"/>
  <c r="AP185" i="6"/>
  <c r="AO185" i="6"/>
  <c r="AN185" i="6"/>
  <c r="AM185" i="6"/>
  <c r="AI185" i="6"/>
  <c r="AH185" i="6"/>
  <c r="AG185" i="6"/>
  <c r="AF185" i="6"/>
  <c r="AE185" i="6"/>
  <c r="AD185" i="6"/>
  <c r="Z185" i="6"/>
  <c r="Y185" i="6"/>
  <c r="X185" i="6"/>
  <c r="W185" i="6"/>
  <c r="V185" i="6"/>
  <c r="U185" i="6"/>
  <c r="Q185" i="6"/>
  <c r="P185" i="6"/>
  <c r="O185" i="6"/>
  <c r="N185" i="6"/>
  <c r="M185" i="6"/>
  <c r="L185" i="6"/>
  <c r="H185" i="6"/>
  <c r="G185" i="6"/>
  <c r="F185" i="6"/>
  <c r="E185" i="6"/>
  <c r="D185" i="6"/>
  <c r="C185" i="6"/>
  <c r="AW166" i="6"/>
  <c r="AV166" i="6"/>
  <c r="AR166" i="6"/>
  <c r="AQ166" i="6"/>
  <c r="AP166" i="6"/>
  <c r="AO166" i="6"/>
  <c r="AN166" i="6"/>
  <c r="AM166" i="6"/>
  <c r="AI166" i="6"/>
  <c r="AH166" i="6"/>
  <c r="AG166" i="6"/>
  <c r="AF166" i="6"/>
  <c r="AE166" i="6"/>
  <c r="AD166" i="6"/>
  <c r="Z166" i="6"/>
  <c r="Y166" i="6"/>
  <c r="X166" i="6"/>
  <c r="W166" i="6"/>
  <c r="V166" i="6"/>
  <c r="U166" i="6"/>
  <c r="Q166" i="6"/>
  <c r="P166" i="6"/>
  <c r="O166" i="6"/>
  <c r="N166" i="6"/>
  <c r="M166" i="6"/>
  <c r="L166" i="6"/>
  <c r="H166" i="6"/>
  <c r="G166" i="6"/>
  <c r="F166" i="6"/>
  <c r="E166" i="6"/>
  <c r="D166" i="6"/>
  <c r="C166" i="6"/>
  <c r="AW147" i="6"/>
  <c r="AV147" i="6"/>
  <c r="AR147" i="6"/>
  <c r="AQ147" i="6"/>
  <c r="AP147" i="6"/>
  <c r="AO147" i="6"/>
  <c r="AN147" i="6"/>
  <c r="AM147" i="6"/>
  <c r="AI147" i="6"/>
  <c r="AH147" i="6"/>
  <c r="AG147" i="6"/>
  <c r="AF147" i="6"/>
  <c r="AE147" i="6"/>
  <c r="AD147" i="6"/>
  <c r="Z147" i="6"/>
  <c r="Y147" i="6"/>
  <c r="X147" i="6"/>
  <c r="W147" i="6"/>
  <c r="V147" i="6"/>
  <c r="U147" i="6"/>
  <c r="Q147" i="6"/>
  <c r="P147" i="6"/>
  <c r="O147" i="6"/>
  <c r="N147" i="6"/>
  <c r="M147" i="6"/>
  <c r="L147" i="6"/>
  <c r="H147" i="6"/>
  <c r="G147" i="6"/>
  <c r="F147" i="6"/>
  <c r="E147" i="6"/>
  <c r="D147" i="6"/>
  <c r="C147" i="6"/>
  <c r="AW128" i="6"/>
  <c r="AV128" i="6"/>
  <c r="AR128" i="6"/>
  <c r="AQ128" i="6"/>
  <c r="AP128" i="6"/>
  <c r="AO128" i="6"/>
  <c r="AN128" i="6"/>
  <c r="AM128" i="6"/>
  <c r="AI128" i="6"/>
  <c r="AH128" i="6"/>
  <c r="AG128" i="6"/>
  <c r="AF128" i="6"/>
  <c r="AE128" i="6"/>
  <c r="AD128" i="6"/>
  <c r="Z128" i="6"/>
  <c r="Y128" i="6"/>
  <c r="X128" i="6"/>
  <c r="W128" i="6"/>
  <c r="V128" i="6"/>
  <c r="U128" i="6"/>
  <c r="Q128" i="6"/>
  <c r="P128" i="6"/>
  <c r="O128" i="6"/>
  <c r="N128" i="6"/>
  <c r="M128" i="6"/>
  <c r="L128" i="6"/>
  <c r="H128" i="6"/>
  <c r="G128" i="6"/>
  <c r="F128" i="6"/>
  <c r="E128" i="6"/>
  <c r="D128" i="6"/>
  <c r="C128" i="6"/>
  <c r="H109" i="6"/>
  <c r="G109" i="6"/>
  <c r="F109" i="6"/>
  <c r="E109" i="6"/>
  <c r="D109" i="6"/>
  <c r="C109" i="6"/>
  <c r="AW90" i="6"/>
  <c r="AV90" i="6"/>
  <c r="AR90" i="6"/>
  <c r="AQ90" i="6"/>
  <c r="AP90" i="6"/>
  <c r="AO90" i="6"/>
  <c r="AN90" i="6"/>
  <c r="AM90" i="6"/>
  <c r="AI90" i="6"/>
  <c r="AH90" i="6"/>
  <c r="AG90" i="6"/>
  <c r="AF90" i="6"/>
  <c r="AE90" i="6"/>
  <c r="AD90" i="6"/>
  <c r="Z90" i="6"/>
  <c r="Y90" i="6"/>
  <c r="X90" i="6"/>
  <c r="W90" i="6"/>
  <c r="V90" i="6"/>
  <c r="U90" i="6"/>
  <c r="Q90" i="6"/>
  <c r="P90" i="6"/>
  <c r="O90" i="6"/>
  <c r="N90" i="6"/>
  <c r="M90" i="6"/>
  <c r="L90" i="6"/>
  <c r="H90" i="6"/>
  <c r="G90" i="6"/>
  <c r="F90" i="6"/>
  <c r="E90" i="6"/>
  <c r="D90" i="6"/>
  <c r="C90" i="6"/>
  <c r="AW71" i="6"/>
  <c r="AV71" i="6"/>
  <c r="AR71" i="6"/>
  <c r="AQ71" i="6"/>
  <c r="AP71" i="6"/>
  <c r="AO71" i="6"/>
  <c r="AN71" i="6"/>
  <c r="AM71" i="6"/>
  <c r="AI71" i="6"/>
  <c r="AH71" i="6"/>
  <c r="AG71" i="6"/>
  <c r="AF71" i="6"/>
  <c r="AE71" i="6"/>
  <c r="AD71" i="6"/>
  <c r="Z71" i="6"/>
  <c r="Y71" i="6"/>
  <c r="X71" i="6"/>
  <c r="W71" i="6"/>
  <c r="V71" i="6"/>
  <c r="U71" i="6"/>
  <c r="Q71" i="6"/>
  <c r="P71" i="6"/>
  <c r="O71" i="6"/>
  <c r="N71" i="6"/>
  <c r="M71" i="6"/>
  <c r="L71" i="6"/>
  <c r="H71" i="6"/>
  <c r="G71" i="6"/>
  <c r="F71" i="6"/>
  <c r="E71" i="6"/>
  <c r="D71" i="6"/>
  <c r="C71" i="6"/>
  <c r="AW52" i="6"/>
  <c r="AV52" i="6"/>
  <c r="AR52" i="6"/>
  <c r="AQ52" i="6"/>
  <c r="AP52" i="6"/>
  <c r="AO52" i="6"/>
  <c r="AN52" i="6"/>
  <c r="AM52" i="6"/>
  <c r="AI52" i="6"/>
  <c r="AH52" i="6"/>
  <c r="AG52" i="6"/>
  <c r="AF52" i="6"/>
  <c r="AE52" i="6"/>
  <c r="AD52" i="6"/>
  <c r="Z52" i="6"/>
  <c r="Y52" i="6"/>
  <c r="X52" i="6"/>
  <c r="W52" i="6"/>
  <c r="V52" i="6"/>
  <c r="U52" i="6"/>
  <c r="Q52" i="6"/>
  <c r="P52" i="6"/>
  <c r="O52" i="6"/>
  <c r="N52" i="6"/>
  <c r="M52" i="6"/>
  <c r="L52" i="6"/>
  <c r="H52" i="6"/>
  <c r="G52" i="6"/>
  <c r="F52" i="6"/>
  <c r="E52" i="6"/>
  <c r="D52" i="6"/>
  <c r="C52" i="6"/>
  <c r="Q33" i="6"/>
  <c r="AW33" i="6"/>
  <c r="AV33" i="6"/>
  <c r="AS33" i="6"/>
  <c r="AR33" i="6"/>
  <c r="AQ33" i="6"/>
  <c r="AP33" i="6"/>
  <c r="AO33" i="6"/>
  <c r="AN33" i="6"/>
  <c r="AM33" i="6"/>
  <c r="AI33" i="6"/>
  <c r="AH33" i="6"/>
  <c r="AG33" i="6"/>
  <c r="AF33" i="6"/>
  <c r="AE33" i="6"/>
  <c r="AD33" i="6"/>
  <c r="Z33" i="6"/>
  <c r="Y33" i="6"/>
  <c r="X33" i="6"/>
  <c r="W33" i="6"/>
  <c r="V33" i="6"/>
  <c r="U33" i="6"/>
  <c r="P33" i="6"/>
  <c r="O33" i="6"/>
  <c r="N33" i="6"/>
  <c r="M33" i="6"/>
  <c r="L33" i="6"/>
  <c r="H33" i="6"/>
  <c r="G33" i="6"/>
  <c r="F33" i="6"/>
  <c r="E33" i="6"/>
  <c r="D33" i="6"/>
  <c r="C33" i="6"/>
  <c r="AV14" i="6"/>
  <c r="AW14" i="6"/>
  <c r="AR14" i="6"/>
  <c r="AQ14" i="6"/>
  <c r="AP14" i="6"/>
  <c r="AO14" i="6"/>
  <c r="AN14" i="6"/>
  <c r="AM14" i="6"/>
  <c r="AI14" i="6"/>
  <c r="AH14" i="6"/>
  <c r="AG14" i="6"/>
  <c r="AF14" i="6"/>
  <c r="AE14" i="6"/>
  <c r="AD14" i="6"/>
  <c r="Q14" i="6"/>
  <c r="P14" i="6"/>
  <c r="O14" i="6"/>
  <c r="N14" i="6"/>
  <c r="M14" i="6"/>
  <c r="L14" i="6"/>
  <c r="AT33" i="6" l="1"/>
  <c r="AX14" i="6"/>
  <c r="AC24" i="6"/>
  <c r="AB26" i="6"/>
  <c r="Q1" i="6"/>
  <c r="AX223" i="6"/>
  <c r="AX52" i="6"/>
  <c r="AX71" i="6"/>
  <c r="AX90" i="6"/>
  <c r="AX128" i="6"/>
  <c r="AX147" i="6"/>
  <c r="AX166" i="6"/>
  <c r="AX185" i="6"/>
  <c r="AX204" i="6"/>
  <c r="AX33" i="6"/>
  <c r="AL24" i="6" l="1"/>
  <c r="AK26" i="6"/>
  <c r="AR4" i="6"/>
  <c r="Z4" i="6"/>
  <c r="AR23" i="6"/>
  <c r="Z23" i="6"/>
  <c r="AR42" i="6"/>
  <c r="Z42" i="6"/>
  <c r="AR61" i="6"/>
  <c r="Z61" i="6"/>
  <c r="AR80" i="6"/>
  <c r="Z80" i="6"/>
  <c r="AR99" i="6"/>
  <c r="Z99" i="6"/>
  <c r="AR118" i="6"/>
  <c r="Z118" i="6"/>
  <c r="AR137" i="6"/>
  <c r="Z137" i="6"/>
  <c r="AR156" i="6"/>
  <c r="Z156" i="6"/>
  <c r="AR175" i="6"/>
  <c r="Z175" i="6"/>
  <c r="AR194" i="6"/>
  <c r="Z194" i="6"/>
  <c r="AR213" i="6"/>
  <c r="Z213" i="6"/>
  <c r="AU24" i="6" l="1"/>
  <c r="B43" i="6" s="1"/>
  <c r="AT26" i="6"/>
  <c r="AW209" i="6"/>
  <c r="AW171" i="6"/>
  <c r="AW76" i="6"/>
  <c r="AW38" i="6"/>
  <c r="AV38" i="6"/>
  <c r="M19" i="6"/>
  <c r="G19" i="6"/>
  <c r="D19" i="6"/>
  <c r="E19" i="6"/>
  <c r="F19" i="6"/>
  <c r="H19" i="6"/>
  <c r="I19" i="6"/>
  <c r="C19" i="6"/>
  <c r="K43" i="6" l="1"/>
  <c r="J45" i="6"/>
  <c r="AX38" i="6"/>
  <c r="J19" i="6"/>
  <c r="AW199" i="6"/>
  <c r="AW198" i="6"/>
  <c r="AW161" i="6"/>
  <c r="AW160" i="6"/>
  <c r="AW66" i="6"/>
  <c r="AW65" i="6"/>
  <c r="AW28" i="6"/>
  <c r="AV28" i="6"/>
  <c r="AW27" i="6"/>
  <c r="AV27" i="6"/>
  <c r="D9" i="6"/>
  <c r="T43" i="6" l="1"/>
  <c r="S45" i="6"/>
  <c r="AX27" i="6"/>
  <c r="AX28" i="6"/>
  <c r="AX41" i="6" s="1"/>
  <c r="AY227" i="6"/>
  <c r="AY224" i="6"/>
  <c r="AY226" i="6"/>
  <c r="AY225" i="6"/>
  <c r="AY208" i="6"/>
  <c r="AY207" i="6"/>
  <c r="AY186" i="6"/>
  <c r="AY206" i="6"/>
  <c r="AY205" i="6"/>
  <c r="AY187" i="6"/>
  <c r="AY189" i="6"/>
  <c r="AY188" i="6"/>
  <c r="AY169" i="6"/>
  <c r="AY167" i="6"/>
  <c r="AY168" i="6"/>
  <c r="AY170" i="6"/>
  <c r="AY150" i="6"/>
  <c r="AY151" i="6"/>
  <c r="AY149" i="6"/>
  <c r="AY148" i="6"/>
  <c r="AY132" i="6"/>
  <c r="AY94" i="6"/>
  <c r="AY130" i="6"/>
  <c r="AY129" i="6"/>
  <c r="AY131" i="6"/>
  <c r="AY110" i="6"/>
  <c r="AY112" i="6"/>
  <c r="AY113" i="6"/>
  <c r="AY111" i="6"/>
  <c r="AY92" i="6"/>
  <c r="AY93" i="6"/>
  <c r="AY91" i="6"/>
  <c r="AY73" i="6"/>
  <c r="AY72" i="6"/>
  <c r="AY74" i="6"/>
  <c r="AY75" i="6"/>
  <c r="AY34" i="6"/>
  <c r="AY55" i="6"/>
  <c r="AY56" i="6"/>
  <c r="AY54" i="6"/>
  <c r="AY53" i="6"/>
  <c r="AY36" i="6"/>
  <c r="AY35" i="6"/>
  <c r="AY37" i="6"/>
  <c r="M9" i="6"/>
  <c r="E9" i="6"/>
  <c r="F9" i="6"/>
  <c r="G9" i="6"/>
  <c r="H9" i="6"/>
  <c r="I9" i="6"/>
  <c r="C9" i="6"/>
  <c r="AC43" i="6" l="1"/>
  <c r="AB45" i="6"/>
  <c r="J9" i="6"/>
  <c r="J22" i="6" s="1"/>
  <c r="N16" i="14"/>
  <c r="N18" i="14"/>
  <c r="N17" i="14"/>
  <c r="N19" i="14"/>
  <c r="M16" i="14"/>
  <c r="M17" i="14"/>
  <c r="M18" i="14"/>
  <c r="M19" i="14"/>
  <c r="L19" i="14"/>
  <c r="L17" i="14"/>
  <c r="L16" i="14"/>
  <c r="L18" i="14"/>
  <c r="K19" i="14"/>
  <c r="K16" i="14"/>
  <c r="K17" i="14"/>
  <c r="K18" i="14"/>
  <c r="J18" i="14"/>
  <c r="J19" i="14"/>
  <c r="J16" i="14"/>
  <c r="J17" i="14"/>
  <c r="I18" i="14"/>
  <c r="I16" i="14"/>
  <c r="I19" i="14"/>
  <c r="I17" i="14"/>
  <c r="G19" i="14"/>
  <c r="G17" i="14"/>
  <c r="H17" i="14"/>
  <c r="H19" i="14"/>
  <c r="H18" i="14"/>
  <c r="H5" i="14" s="1"/>
  <c r="I5" i="14" s="1"/>
  <c r="J5" i="14" s="1"/>
  <c r="G16" i="14"/>
  <c r="H16" i="14"/>
  <c r="G18" i="14"/>
  <c r="F18" i="14"/>
  <c r="F16" i="14"/>
  <c r="F17" i="14"/>
  <c r="F19" i="14"/>
  <c r="D17" i="14"/>
  <c r="D19" i="14"/>
  <c r="D18" i="14"/>
  <c r="D12" i="17" s="1"/>
  <c r="D16" i="14"/>
  <c r="E17" i="14"/>
  <c r="E19" i="14"/>
  <c r="E16" i="14"/>
  <c r="E18" i="14"/>
  <c r="AL43" i="6" l="1"/>
  <c r="AK45" i="6"/>
  <c r="K5" i="14"/>
  <c r="L5" i="14" s="1"/>
  <c r="M5" i="14" s="1"/>
  <c r="N5" i="14" s="1"/>
  <c r="P5" i="14" s="1"/>
  <c r="AU43" i="6" l="1"/>
  <c r="B62" i="6" s="1"/>
  <c r="AT45" i="6"/>
  <c r="AY18" i="6"/>
  <c r="K62" i="6" l="1"/>
  <c r="J64" i="6"/>
  <c r="C19" i="14"/>
  <c r="AY17" i="6"/>
  <c r="AY16" i="6"/>
  <c r="AY15" i="6"/>
  <c r="D8" i="6"/>
  <c r="E8" i="6"/>
  <c r="F8" i="6"/>
  <c r="G8" i="6"/>
  <c r="H8" i="6"/>
  <c r="I8" i="6"/>
  <c r="T62" i="6" l="1"/>
  <c r="S64" i="6"/>
  <c r="J8" i="6"/>
  <c r="C18" i="14"/>
  <c r="C17" i="14"/>
  <c r="P19" i="14"/>
  <c r="C16" i="14"/>
  <c r="P16" i="14" s="1"/>
  <c r="H213" i="6"/>
  <c r="H194" i="6"/>
  <c r="H175" i="6"/>
  <c r="H156" i="6"/>
  <c r="AC62" i="6" l="1"/>
  <c r="AB64" i="6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H137" i="6"/>
  <c r="AL62" i="6" l="1"/>
  <c r="AK64" i="6"/>
  <c r="H118" i="6"/>
  <c r="H99" i="6"/>
  <c r="H80" i="6"/>
  <c r="H61" i="6"/>
  <c r="H42" i="6"/>
  <c r="H23" i="6"/>
  <c r="AU62" i="6" l="1"/>
  <c r="B81" i="6" s="1"/>
  <c r="AT64" i="6"/>
  <c r="H4" i="6"/>
  <c r="K81" i="6" l="1"/>
  <c r="J83" i="6"/>
  <c r="C219" i="6"/>
  <c r="C162" i="6"/>
  <c r="AS27" i="6"/>
  <c r="AS38" i="6"/>
  <c r="T81" i="6" l="1"/>
  <c r="S83" i="6"/>
  <c r="C160" i="6"/>
  <c r="C171" i="6"/>
  <c r="AS29" i="6"/>
  <c r="AS28" i="6" s="1"/>
  <c r="C217" i="6"/>
  <c r="C161" i="6"/>
  <c r="C218" i="6"/>
  <c r="C228" i="6"/>
  <c r="AC81" i="6" l="1"/>
  <c r="AB83" i="6"/>
  <c r="Q10" i="6"/>
  <c r="Q9" i="6" s="1"/>
  <c r="L10" i="6"/>
  <c r="AL81" i="6" l="1"/>
  <c r="AK83" i="6"/>
  <c r="P10" i="6"/>
  <c r="P9" i="6" s="1"/>
  <c r="L9" i="6"/>
  <c r="L19" i="6"/>
  <c r="O10" i="6"/>
  <c r="O9" i="6" s="1"/>
  <c r="Q19" i="6"/>
  <c r="N10" i="6"/>
  <c r="N9" i="6" s="1"/>
  <c r="AU81" i="6" l="1"/>
  <c r="B100" i="6" s="1"/>
  <c r="AT83" i="6"/>
  <c r="N19" i="6"/>
  <c r="P19" i="6"/>
  <c r="O19" i="6"/>
  <c r="K100" i="6" l="1"/>
  <c r="J102" i="6"/>
  <c r="AH7" i="6"/>
  <c r="AD7" i="6"/>
  <c r="AG7" i="6"/>
  <c r="AJ7" i="6"/>
  <c r="AF7" i="6"/>
  <c r="AI7" i="6"/>
  <c r="AE7" i="6"/>
  <c r="AF21" i="6"/>
  <c r="AG21" i="6"/>
  <c r="AD21" i="6"/>
  <c r="AH21" i="6"/>
  <c r="AE21" i="6"/>
  <c r="Y19" i="6"/>
  <c r="X19" i="6"/>
  <c r="V19" i="6"/>
  <c r="Z19" i="6"/>
  <c r="T100" i="6" l="1"/>
  <c r="S102" i="6"/>
  <c r="AN7" i="6"/>
  <c r="AN10" i="6" s="1"/>
  <c r="AN9" i="6" s="1"/>
  <c r="AM7" i="6"/>
  <c r="AM8" i="6" s="1"/>
  <c r="AO7" i="6"/>
  <c r="AO8" i="6" s="1"/>
  <c r="U19" i="6"/>
  <c r="AK21" i="6"/>
  <c r="AO21" i="6"/>
  <c r="AM21" i="6"/>
  <c r="AN21" i="6"/>
  <c r="AV21" i="6"/>
  <c r="AW21" i="6"/>
  <c r="W19" i="6"/>
  <c r="AE8" i="6"/>
  <c r="AE10" i="6"/>
  <c r="AE9" i="6" s="1"/>
  <c r="AI8" i="6"/>
  <c r="AI19" i="6"/>
  <c r="AI10" i="6"/>
  <c r="AI9" i="6" s="1"/>
  <c r="AD8" i="6"/>
  <c r="AD10" i="6"/>
  <c r="AR8" i="6"/>
  <c r="AR19" i="6"/>
  <c r="AR10" i="6"/>
  <c r="AR9" i="6" s="1"/>
  <c r="AM10" i="6"/>
  <c r="AF8" i="6"/>
  <c r="AF10" i="6"/>
  <c r="AF9" i="6" s="1"/>
  <c r="AQ8" i="6"/>
  <c r="AQ10" i="6"/>
  <c r="AQ9" i="6" s="1"/>
  <c r="AG8" i="6"/>
  <c r="AG10" i="6"/>
  <c r="AG9" i="6" s="1"/>
  <c r="AH8" i="6"/>
  <c r="AH10" i="6"/>
  <c r="AH9" i="6" s="1"/>
  <c r="AS8" i="6"/>
  <c r="AS19" i="6"/>
  <c r="AS10" i="6"/>
  <c r="AN8" i="6"/>
  <c r="AJ10" i="6"/>
  <c r="AJ8" i="6"/>
  <c r="AJ19" i="6"/>
  <c r="AP8" i="6"/>
  <c r="AP10" i="6"/>
  <c r="AP9" i="6" s="1"/>
  <c r="AK10" i="6" l="1"/>
  <c r="AT8" i="6"/>
  <c r="AK8" i="6"/>
  <c r="AC100" i="6"/>
  <c r="AB102" i="6"/>
  <c r="AO10" i="6"/>
  <c r="AO9" i="6" s="1"/>
  <c r="E26" i="6"/>
  <c r="C26" i="6"/>
  <c r="D26" i="6"/>
  <c r="E40" i="6"/>
  <c r="C40" i="6"/>
  <c r="D40" i="6"/>
  <c r="G26" i="6"/>
  <c r="F26" i="6"/>
  <c r="I26" i="6"/>
  <c r="H26" i="6"/>
  <c r="G40" i="6"/>
  <c r="F40" i="6"/>
  <c r="AM19" i="6"/>
  <c r="AD19" i="6"/>
  <c r="AT21" i="6"/>
  <c r="AX21" i="6"/>
  <c r="AN19" i="6"/>
  <c r="AO19" i="6"/>
  <c r="AP19" i="6"/>
  <c r="AQ19" i="6"/>
  <c r="AW8" i="6"/>
  <c r="AW10" i="6"/>
  <c r="AW9" i="6" s="1"/>
  <c r="AS9" i="6"/>
  <c r="AS14" i="6"/>
  <c r="AT14" i="6" s="1"/>
  <c r="AJ14" i="6"/>
  <c r="AK14" i="6" s="1"/>
  <c r="AJ9" i="6"/>
  <c r="AF19" i="6"/>
  <c r="AD9" i="6"/>
  <c r="AG19" i="6"/>
  <c r="AM9" i="6"/>
  <c r="AH19" i="6"/>
  <c r="AE19" i="6"/>
  <c r="AV8" i="6"/>
  <c r="AX8" i="6" s="1"/>
  <c r="AV10" i="6"/>
  <c r="AX10" i="6" s="1"/>
  <c r="AK9" i="6" l="1"/>
  <c r="AT10" i="6"/>
  <c r="AT11" i="6" s="1"/>
  <c r="AT12" i="6" s="1"/>
  <c r="AT13" i="6" s="1"/>
  <c r="AX11" i="6"/>
  <c r="AX12" i="6" s="1"/>
  <c r="AX13" i="6" s="1"/>
  <c r="AT9" i="6"/>
  <c r="AT22" i="6" s="1"/>
  <c r="AL100" i="6"/>
  <c r="AK102" i="6"/>
  <c r="AK11" i="6"/>
  <c r="AK12" i="6" s="1"/>
  <c r="AK13" i="6" s="1"/>
  <c r="J40" i="6"/>
  <c r="Q26" i="6"/>
  <c r="M26" i="6"/>
  <c r="P26" i="6"/>
  <c r="L26" i="6"/>
  <c r="O26" i="6"/>
  <c r="R26" i="6"/>
  <c r="N26" i="6"/>
  <c r="O40" i="6"/>
  <c r="M40" i="6"/>
  <c r="N40" i="6"/>
  <c r="L40" i="6"/>
  <c r="P40" i="6"/>
  <c r="AV19" i="6"/>
  <c r="AT19" i="6"/>
  <c r="AK22" i="6"/>
  <c r="AK19" i="6"/>
  <c r="D29" i="6"/>
  <c r="D28" i="6" s="1"/>
  <c r="D27" i="6"/>
  <c r="C29" i="6"/>
  <c r="C27" i="6"/>
  <c r="AW19" i="6"/>
  <c r="I38" i="6"/>
  <c r="I27" i="6"/>
  <c r="I29" i="6"/>
  <c r="H38" i="6"/>
  <c r="H27" i="6"/>
  <c r="H29" i="6"/>
  <c r="H28" i="6" s="1"/>
  <c r="G27" i="6"/>
  <c r="G29" i="6"/>
  <c r="G28" i="6" s="1"/>
  <c r="AV9" i="6"/>
  <c r="F27" i="6"/>
  <c r="F29" i="6"/>
  <c r="F28" i="6" s="1"/>
  <c r="E27" i="6"/>
  <c r="E29" i="6"/>
  <c r="E38" i="6" s="1"/>
  <c r="AX9" i="6" l="1"/>
  <c r="AX22" i="6" s="1"/>
  <c r="J27" i="6"/>
  <c r="J29" i="6"/>
  <c r="J30" i="6" s="1"/>
  <c r="J31" i="6" s="1"/>
  <c r="AU100" i="6"/>
  <c r="B119" i="6" s="1"/>
  <c r="AT102" i="6"/>
  <c r="S40" i="6"/>
  <c r="AA26" i="6"/>
  <c r="W26" i="6"/>
  <c r="Z26" i="6"/>
  <c r="V26" i="6"/>
  <c r="Y26" i="6"/>
  <c r="U26" i="6"/>
  <c r="X26" i="6"/>
  <c r="W40" i="6"/>
  <c r="Y40" i="6"/>
  <c r="U40" i="6"/>
  <c r="X40" i="6"/>
  <c r="V40" i="6"/>
  <c r="AX19" i="6"/>
  <c r="C38" i="6"/>
  <c r="D38" i="6"/>
  <c r="C28" i="6"/>
  <c r="F38" i="6"/>
  <c r="G38" i="6"/>
  <c r="L27" i="6"/>
  <c r="L29" i="6"/>
  <c r="R27" i="6"/>
  <c r="R38" i="6"/>
  <c r="R29" i="6"/>
  <c r="P27" i="6"/>
  <c r="P29" i="6"/>
  <c r="P28" i="6" s="1"/>
  <c r="N27" i="6"/>
  <c r="N29" i="6"/>
  <c r="N28" i="6" s="1"/>
  <c r="E28" i="6"/>
  <c r="O27" i="6"/>
  <c r="O29" i="6"/>
  <c r="O28" i="6" s="1"/>
  <c r="I28" i="6"/>
  <c r="I33" i="6"/>
  <c r="J33" i="6" s="1"/>
  <c r="M27" i="6"/>
  <c r="M29" i="6"/>
  <c r="M28" i="6" s="1"/>
  <c r="Q38" i="6"/>
  <c r="Q27" i="6"/>
  <c r="Q29" i="6"/>
  <c r="Q28" i="6" s="1"/>
  <c r="J32" i="6" l="1"/>
  <c r="S29" i="6"/>
  <c r="S30" i="6" s="1"/>
  <c r="S31" i="6" s="1"/>
  <c r="J28" i="6"/>
  <c r="J41" i="6" s="1"/>
  <c r="S27" i="6"/>
  <c r="K119" i="6"/>
  <c r="J121" i="6"/>
  <c r="AB40" i="6"/>
  <c r="AG26" i="6"/>
  <c r="AJ26" i="6"/>
  <c r="AF26" i="6"/>
  <c r="AI26" i="6"/>
  <c r="AE26" i="6"/>
  <c r="AH26" i="6"/>
  <c r="AD26" i="6"/>
  <c r="AE40" i="6"/>
  <c r="AG40" i="6"/>
  <c r="AD40" i="6"/>
  <c r="AF40" i="6"/>
  <c r="AH40" i="6"/>
  <c r="L38" i="6"/>
  <c r="J38" i="6"/>
  <c r="O38" i="6"/>
  <c r="P38" i="6"/>
  <c r="M38" i="6"/>
  <c r="N38" i="6"/>
  <c r="AA38" i="6"/>
  <c r="AA27" i="6"/>
  <c r="AA29" i="6"/>
  <c r="Y27" i="6"/>
  <c r="Y29" i="6"/>
  <c r="Y28" i="6" s="1"/>
  <c r="L28" i="6"/>
  <c r="V27" i="6"/>
  <c r="V29" i="6"/>
  <c r="V28" i="6" s="1"/>
  <c r="Z27" i="6"/>
  <c r="Z38" i="6"/>
  <c r="Z29" i="6"/>
  <c r="Z28" i="6" s="1"/>
  <c r="X27" i="6"/>
  <c r="X29" i="6"/>
  <c r="X28" i="6" s="1"/>
  <c r="W27" i="6"/>
  <c r="W29" i="6"/>
  <c r="W28" i="6" s="1"/>
  <c r="R28" i="6"/>
  <c r="R33" i="6"/>
  <c r="S33" i="6" s="1"/>
  <c r="U27" i="6"/>
  <c r="U29" i="6"/>
  <c r="AB29" i="6" l="1"/>
  <c r="AB30" i="6" s="1"/>
  <c r="AB31" i="6" s="1"/>
  <c r="AB27" i="6"/>
  <c r="S28" i="6"/>
  <c r="S41" i="6" s="1"/>
  <c r="S32" i="6"/>
  <c r="T119" i="6"/>
  <c r="S121" i="6"/>
  <c r="AQ26" i="6"/>
  <c r="AR26" i="6"/>
  <c r="AQ40" i="6"/>
  <c r="AP26" i="6"/>
  <c r="AP40" i="6"/>
  <c r="AK40" i="6"/>
  <c r="U38" i="6"/>
  <c r="AM26" i="6"/>
  <c r="AO26" i="6"/>
  <c r="AN26" i="6"/>
  <c r="AM40" i="6"/>
  <c r="AO40" i="6"/>
  <c r="AN40" i="6"/>
  <c r="S38" i="6"/>
  <c r="AH29" i="6"/>
  <c r="AH28" i="6" s="1"/>
  <c r="AH27" i="6"/>
  <c r="W38" i="6"/>
  <c r="AD27" i="6"/>
  <c r="AD29" i="6"/>
  <c r="V38" i="6"/>
  <c r="Y38" i="6"/>
  <c r="AG27" i="6"/>
  <c r="AG29" i="6"/>
  <c r="AG28" i="6" s="1"/>
  <c r="AA28" i="6"/>
  <c r="AA33" i="6"/>
  <c r="AB33" i="6" s="1"/>
  <c r="AI27" i="6"/>
  <c r="AI38" i="6"/>
  <c r="AI29" i="6"/>
  <c r="AI28" i="6" s="1"/>
  <c r="U28" i="6"/>
  <c r="X38" i="6"/>
  <c r="AF27" i="6"/>
  <c r="AF29" i="6"/>
  <c r="AF28" i="6" s="1"/>
  <c r="AE27" i="6"/>
  <c r="AE29" i="6"/>
  <c r="AE28" i="6" s="1"/>
  <c r="AJ38" i="6"/>
  <c r="AJ27" i="6"/>
  <c r="AJ29" i="6"/>
  <c r="AB28" i="6" l="1"/>
  <c r="AB41" i="6" s="1"/>
  <c r="AB32" i="6"/>
  <c r="AK29" i="6"/>
  <c r="AC119" i="6"/>
  <c r="AB121" i="6"/>
  <c r="AK27" i="6"/>
  <c r="E45" i="6"/>
  <c r="D45" i="6"/>
  <c r="C45" i="6"/>
  <c r="E59" i="6"/>
  <c r="D59" i="6"/>
  <c r="C59" i="6"/>
  <c r="AT40" i="6"/>
  <c r="AD38" i="6"/>
  <c r="F45" i="6"/>
  <c r="I45" i="6"/>
  <c r="H45" i="6"/>
  <c r="G45" i="6"/>
  <c r="F59" i="6"/>
  <c r="G59" i="6"/>
  <c r="AB38" i="6"/>
  <c r="AF38" i="6"/>
  <c r="AP29" i="6"/>
  <c r="AP28" i="6" s="1"/>
  <c r="AP27" i="6"/>
  <c r="AQ29" i="6"/>
  <c r="AQ28" i="6" s="1"/>
  <c r="AQ27" i="6"/>
  <c r="AR29" i="6"/>
  <c r="AR28" i="6" s="1"/>
  <c r="AR38" i="6"/>
  <c r="AR27" i="6"/>
  <c r="AO29" i="6"/>
  <c r="AO28" i="6" s="1"/>
  <c r="AO27" i="6"/>
  <c r="AE38" i="6"/>
  <c r="AG38" i="6"/>
  <c r="AH38" i="6"/>
  <c r="AD28" i="6"/>
  <c r="AM29" i="6"/>
  <c r="AM27" i="6"/>
  <c r="AN27" i="6"/>
  <c r="AN29" i="6"/>
  <c r="AN28" i="6" s="1"/>
  <c r="AJ33" i="6"/>
  <c r="AK33" i="6" s="1"/>
  <c r="AJ28" i="6"/>
  <c r="AT29" i="6" l="1"/>
  <c r="AT30" i="6" s="1"/>
  <c r="AT31" i="6" s="1"/>
  <c r="AT32" i="6" s="1"/>
  <c r="AT27" i="6"/>
  <c r="AL119" i="6"/>
  <c r="AK121" i="6"/>
  <c r="AK28" i="6"/>
  <c r="AK41" i="6" s="1"/>
  <c r="AK30" i="6"/>
  <c r="AK31" i="6" s="1"/>
  <c r="AK32" i="6" s="1"/>
  <c r="C48" i="6"/>
  <c r="C57" i="6"/>
  <c r="C46" i="6"/>
  <c r="AQ38" i="6"/>
  <c r="AP38" i="6"/>
  <c r="J59" i="6"/>
  <c r="AY33" i="6"/>
  <c r="D15" i="14" s="1"/>
  <c r="AM38" i="6"/>
  <c r="P45" i="6"/>
  <c r="L45" i="6"/>
  <c r="O45" i="6"/>
  <c r="R45" i="6"/>
  <c r="N45" i="6"/>
  <c r="Q45" i="6"/>
  <c r="M45" i="6"/>
  <c r="P59" i="6"/>
  <c r="L59" i="6"/>
  <c r="N59" i="6"/>
  <c r="M59" i="6"/>
  <c r="O59" i="6"/>
  <c r="AY27" i="6"/>
  <c r="D9" i="14" s="1"/>
  <c r="AK38" i="6"/>
  <c r="AO38" i="6"/>
  <c r="D48" i="6"/>
  <c r="D57" i="6" s="1"/>
  <c r="D46" i="6"/>
  <c r="AN38" i="6"/>
  <c r="I57" i="6"/>
  <c r="I46" i="6"/>
  <c r="I48" i="6"/>
  <c r="H57" i="6"/>
  <c r="H46" i="6"/>
  <c r="H48" i="6"/>
  <c r="H47" i="6" s="1"/>
  <c r="G46" i="6"/>
  <c r="G48" i="6"/>
  <c r="G47" i="6" s="1"/>
  <c r="F46" i="6"/>
  <c r="F48" i="6"/>
  <c r="F47" i="6" s="1"/>
  <c r="E48" i="6"/>
  <c r="E57" i="6" s="1"/>
  <c r="E46" i="6"/>
  <c r="AY29" i="6"/>
  <c r="D11" i="14" s="1"/>
  <c r="AM28" i="6"/>
  <c r="AT28" i="6" s="1"/>
  <c r="AT41" i="6" s="1"/>
  <c r="AY41" i="6" l="1"/>
  <c r="D23" i="14" s="1"/>
  <c r="J48" i="6"/>
  <c r="J46" i="6"/>
  <c r="AU119" i="6"/>
  <c r="B138" i="6" s="1"/>
  <c r="AT121" i="6"/>
  <c r="C47" i="6"/>
  <c r="AY32" i="6"/>
  <c r="D14" i="14" s="1"/>
  <c r="AT38" i="6"/>
  <c r="AY38" i="6" s="1"/>
  <c r="D20" i="14" s="1"/>
  <c r="Z45" i="6"/>
  <c r="V45" i="6"/>
  <c r="Y45" i="6"/>
  <c r="U45" i="6"/>
  <c r="X45" i="6"/>
  <c r="AA45" i="6"/>
  <c r="W45" i="6"/>
  <c r="X59" i="6"/>
  <c r="V59" i="6"/>
  <c r="Y59" i="6"/>
  <c r="U59" i="6"/>
  <c r="W59" i="6"/>
  <c r="S59" i="6"/>
  <c r="F57" i="6"/>
  <c r="D47" i="6"/>
  <c r="G57" i="6"/>
  <c r="AY30" i="6"/>
  <c r="D12" i="14" s="1"/>
  <c r="AY31" i="6"/>
  <c r="D13" i="14" s="1"/>
  <c r="P46" i="6"/>
  <c r="P48" i="6"/>
  <c r="P47" i="6" s="1"/>
  <c r="AY28" i="6"/>
  <c r="D10" i="14" s="1"/>
  <c r="E47" i="6"/>
  <c r="Q57" i="6"/>
  <c r="Q46" i="6"/>
  <c r="Q48" i="6"/>
  <c r="Q47" i="6" s="1"/>
  <c r="N46" i="6"/>
  <c r="N48" i="6"/>
  <c r="N47" i="6" s="1"/>
  <c r="L48" i="6"/>
  <c r="L46" i="6"/>
  <c r="M46" i="6"/>
  <c r="M48" i="6"/>
  <c r="M47" i="6" s="1"/>
  <c r="I47" i="6"/>
  <c r="I52" i="6"/>
  <c r="J52" i="6" s="1"/>
  <c r="R57" i="6"/>
  <c r="R46" i="6"/>
  <c r="R48" i="6"/>
  <c r="O46" i="6"/>
  <c r="O48" i="6"/>
  <c r="O47" i="6" s="1"/>
  <c r="S48" i="6" l="1"/>
  <c r="S46" i="6"/>
  <c r="K138" i="6"/>
  <c r="J140" i="6"/>
  <c r="S49" i="6"/>
  <c r="S50" i="6" s="1"/>
  <c r="J47" i="6"/>
  <c r="J60" i="6" s="1"/>
  <c r="J49" i="6"/>
  <c r="J50" i="6" s="1"/>
  <c r="J51" i="6" s="1"/>
  <c r="J57" i="6"/>
  <c r="AJ45" i="6"/>
  <c r="AF45" i="6"/>
  <c r="AI45" i="6"/>
  <c r="AE45" i="6"/>
  <c r="AH45" i="6"/>
  <c r="AD45" i="6"/>
  <c r="AG45" i="6"/>
  <c r="AF59" i="6"/>
  <c r="AH59" i="6"/>
  <c r="AD59" i="6"/>
  <c r="AE59" i="6"/>
  <c r="AG59" i="6"/>
  <c r="L57" i="6"/>
  <c r="AB59" i="6"/>
  <c r="AZ24" i="6"/>
  <c r="D21" i="14" s="1"/>
  <c r="V46" i="6"/>
  <c r="V48" i="6"/>
  <c r="V47" i="6" s="1"/>
  <c r="AA57" i="6"/>
  <c r="AA46" i="6"/>
  <c r="AA48" i="6"/>
  <c r="P57" i="6"/>
  <c r="N57" i="6"/>
  <c r="X46" i="6"/>
  <c r="X48" i="6"/>
  <c r="X47" i="6" s="1"/>
  <c r="Z57" i="6"/>
  <c r="Z46" i="6"/>
  <c r="Z48" i="6"/>
  <c r="Z47" i="6" s="1"/>
  <c r="W46" i="6"/>
  <c r="W48" i="6"/>
  <c r="W47" i="6" s="1"/>
  <c r="Y46" i="6"/>
  <c r="Y48" i="6"/>
  <c r="Y47" i="6" s="1"/>
  <c r="U48" i="6"/>
  <c r="U46" i="6"/>
  <c r="M57" i="6"/>
  <c r="O57" i="6"/>
  <c r="R47" i="6"/>
  <c r="R52" i="6"/>
  <c r="S52" i="6" s="1"/>
  <c r="L47" i="6"/>
  <c r="AS45" i="6"/>
  <c r="S51" i="6" l="1"/>
  <c r="AB46" i="6"/>
  <c r="AB48" i="6"/>
  <c r="T138" i="6"/>
  <c r="S140" i="6"/>
  <c r="S47" i="6"/>
  <c r="S60" i="6" s="1"/>
  <c r="U57" i="6"/>
  <c r="AP45" i="6"/>
  <c r="AO45" i="6"/>
  <c r="AR45" i="6"/>
  <c r="AN45" i="6"/>
  <c r="AQ45" i="6"/>
  <c r="AM45" i="6"/>
  <c r="AN59" i="6"/>
  <c r="AP59" i="6"/>
  <c r="AO59" i="6"/>
  <c r="AQ59" i="6"/>
  <c r="AM59" i="6"/>
  <c r="AK59" i="6"/>
  <c r="S57" i="6"/>
  <c r="V57" i="6"/>
  <c r="W57" i="6"/>
  <c r="X57" i="6"/>
  <c r="Y57" i="6"/>
  <c r="AJ57" i="6"/>
  <c r="AJ46" i="6"/>
  <c r="AJ48" i="6"/>
  <c r="AH46" i="6"/>
  <c r="AH48" i="6"/>
  <c r="AH47" i="6" s="1"/>
  <c r="AE46" i="6"/>
  <c r="AE48" i="6"/>
  <c r="AE47" i="6" s="1"/>
  <c r="AG46" i="6"/>
  <c r="AG48" i="6"/>
  <c r="AG47" i="6" s="1"/>
  <c r="AI57" i="6"/>
  <c r="AI46" i="6"/>
  <c r="AI48" i="6"/>
  <c r="AI47" i="6" s="1"/>
  <c r="AA47" i="6"/>
  <c r="AA52" i="6"/>
  <c r="AB52" i="6" s="1"/>
  <c r="AF46" i="6"/>
  <c r="AF48" i="6"/>
  <c r="AF47" i="6" s="1"/>
  <c r="AD48" i="6"/>
  <c r="AD46" i="6"/>
  <c r="U47" i="6"/>
  <c r="AK46" i="6" l="1"/>
  <c r="AK48" i="6"/>
  <c r="AC138" i="6"/>
  <c r="AB140" i="6"/>
  <c r="AB47" i="6"/>
  <c r="AB60" i="6" s="1"/>
  <c r="AB49" i="6"/>
  <c r="AB50" i="6" s="1"/>
  <c r="AB51" i="6" s="1"/>
  <c r="H64" i="6"/>
  <c r="AV45" i="6"/>
  <c r="AW45" i="6"/>
  <c r="AV59" i="6"/>
  <c r="AW59" i="6"/>
  <c r="D78" i="6"/>
  <c r="E64" i="6"/>
  <c r="G64" i="6"/>
  <c r="F78" i="6"/>
  <c r="C64" i="6"/>
  <c r="E78" i="6"/>
  <c r="G78" i="6"/>
  <c r="C78" i="6"/>
  <c r="F64" i="6"/>
  <c r="D64" i="6"/>
  <c r="AD57" i="6"/>
  <c r="I64" i="6"/>
  <c r="AT59" i="6"/>
  <c r="AB57" i="6"/>
  <c r="AE57" i="6"/>
  <c r="AS48" i="6"/>
  <c r="AS57" i="6"/>
  <c r="AS46" i="6"/>
  <c r="AR48" i="6"/>
  <c r="AR47" i="6" s="1"/>
  <c r="AR57" i="6"/>
  <c r="AR46" i="6"/>
  <c r="AF57" i="6"/>
  <c r="AG57" i="6"/>
  <c r="AH57" i="6"/>
  <c r="AN46" i="6"/>
  <c r="AN48" i="6"/>
  <c r="AN47" i="6" s="1"/>
  <c r="AJ47" i="6"/>
  <c r="AJ52" i="6"/>
  <c r="AK52" i="6" s="1"/>
  <c r="AP46" i="6"/>
  <c r="AP48" i="6"/>
  <c r="AP47" i="6" s="1"/>
  <c r="AO46" i="6"/>
  <c r="AO48" i="6"/>
  <c r="AO47" i="6" s="1"/>
  <c r="AD47" i="6"/>
  <c r="AM46" i="6"/>
  <c r="AM48" i="6"/>
  <c r="AQ46" i="6"/>
  <c r="AQ48" i="6"/>
  <c r="AQ47" i="6" s="1"/>
  <c r="AT48" i="6" l="1"/>
  <c r="AT49" i="6" s="1"/>
  <c r="AT50" i="6" s="1"/>
  <c r="AL138" i="6"/>
  <c r="AK140" i="6"/>
  <c r="AT46" i="6"/>
  <c r="AK47" i="6"/>
  <c r="AK60" i="6" s="1"/>
  <c r="AK49" i="6"/>
  <c r="AK50" i="6" s="1"/>
  <c r="AK51" i="6" s="1"/>
  <c r="AX59" i="6"/>
  <c r="J78" i="6"/>
  <c r="AM57" i="6"/>
  <c r="AK57" i="6"/>
  <c r="Q64" i="6"/>
  <c r="O64" i="6"/>
  <c r="N64" i="6"/>
  <c r="R64" i="6"/>
  <c r="M64" i="6"/>
  <c r="P64" i="6"/>
  <c r="L64" i="6"/>
  <c r="M78" i="6"/>
  <c r="O78" i="6"/>
  <c r="N78" i="6"/>
  <c r="P78" i="6"/>
  <c r="L78" i="6"/>
  <c r="D65" i="6"/>
  <c r="D67" i="6"/>
  <c r="D66" i="6" s="1"/>
  <c r="D76" i="6"/>
  <c r="C67" i="6"/>
  <c r="C76" i="6"/>
  <c r="C65" i="6"/>
  <c r="AW48" i="6"/>
  <c r="AW47" i="6" s="1"/>
  <c r="AW57" i="6"/>
  <c r="AW46" i="6"/>
  <c r="AS52" i="6"/>
  <c r="AT52" i="6" s="1"/>
  <c r="AS47" i="6"/>
  <c r="E67" i="6"/>
  <c r="E76" i="6"/>
  <c r="E65" i="6"/>
  <c r="AV48" i="6"/>
  <c r="AX48" i="6" s="1"/>
  <c r="AV57" i="6"/>
  <c r="AX57" i="6" s="1"/>
  <c r="AV46" i="6"/>
  <c r="AX46" i="6" s="1"/>
  <c r="F67" i="6"/>
  <c r="F66" i="6" s="1"/>
  <c r="F76" i="6"/>
  <c r="F65" i="6"/>
  <c r="G67" i="6"/>
  <c r="G76" i="6" s="1"/>
  <c r="G65" i="6"/>
  <c r="AP57" i="6"/>
  <c r="AQ57" i="6"/>
  <c r="AO57" i="6"/>
  <c r="AN57" i="6"/>
  <c r="AM47" i="6"/>
  <c r="AT47" i="6" s="1"/>
  <c r="AT60" i="6" s="1"/>
  <c r="AY60" i="6" s="1"/>
  <c r="E23" i="14" s="1"/>
  <c r="H65" i="6"/>
  <c r="H76" i="6"/>
  <c r="H67" i="6"/>
  <c r="I76" i="6"/>
  <c r="I65" i="6"/>
  <c r="I67" i="6"/>
  <c r="J67" i="6" l="1"/>
  <c r="J68" i="6" s="1"/>
  <c r="J69" i="6" s="1"/>
  <c r="AU138" i="6"/>
  <c r="B157" i="6" s="1"/>
  <c r="AT140" i="6"/>
  <c r="J65" i="6"/>
  <c r="AT51" i="6"/>
  <c r="S78" i="6"/>
  <c r="AX49" i="6"/>
  <c r="AX50" i="6" s="1"/>
  <c r="AX51" i="6" s="1"/>
  <c r="AY52" i="6"/>
  <c r="E15" i="14" s="1"/>
  <c r="AT57" i="6"/>
  <c r="AY57" i="6" s="1"/>
  <c r="E20" i="14" s="1"/>
  <c r="AA64" i="6"/>
  <c r="W64" i="6"/>
  <c r="Y64" i="6"/>
  <c r="U64" i="6"/>
  <c r="X64" i="6"/>
  <c r="V64" i="6"/>
  <c r="Z64" i="6"/>
  <c r="Y78" i="6"/>
  <c r="U78" i="6"/>
  <c r="W78" i="6"/>
  <c r="V78" i="6"/>
  <c r="X78" i="6"/>
  <c r="J76" i="6"/>
  <c r="C66" i="6"/>
  <c r="AY46" i="6"/>
  <c r="E9" i="14" s="1"/>
  <c r="E66" i="6"/>
  <c r="AY48" i="6"/>
  <c r="E11" i="14" s="1"/>
  <c r="AV47" i="6"/>
  <c r="G66" i="6"/>
  <c r="L67" i="6"/>
  <c r="L65" i="6"/>
  <c r="O65" i="6"/>
  <c r="O67" i="6"/>
  <c r="O66" i="6" s="1"/>
  <c r="P65" i="6"/>
  <c r="P67" i="6"/>
  <c r="P66" i="6" s="1"/>
  <c r="R76" i="6"/>
  <c r="R65" i="6"/>
  <c r="R67" i="6"/>
  <c r="Q76" i="6"/>
  <c r="Q65" i="6"/>
  <c r="Q67" i="6"/>
  <c r="Q66" i="6" s="1"/>
  <c r="M65" i="6"/>
  <c r="M67" i="6"/>
  <c r="M66" i="6" s="1"/>
  <c r="H66" i="6"/>
  <c r="I66" i="6"/>
  <c r="I71" i="6"/>
  <c r="J71" i="6" s="1"/>
  <c r="N65" i="6"/>
  <c r="N67" i="6"/>
  <c r="N66" i="6" s="1"/>
  <c r="J66" i="6" l="1"/>
  <c r="J79" i="6" s="1"/>
  <c r="S65" i="6"/>
  <c r="K157" i="6"/>
  <c r="J159" i="6"/>
  <c r="S67" i="6"/>
  <c r="S68" i="6" s="1"/>
  <c r="S69" i="6" s="1"/>
  <c r="J70" i="6"/>
  <c r="L76" i="6"/>
  <c r="AG64" i="6"/>
  <c r="AI64" i="6"/>
  <c r="AE64" i="6"/>
  <c r="AH64" i="6"/>
  <c r="AF64" i="6"/>
  <c r="AD64" i="6"/>
  <c r="AJ64" i="6"/>
  <c r="AG78" i="6"/>
  <c r="AE78" i="6"/>
  <c r="AH78" i="6"/>
  <c r="AF78" i="6"/>
  <c r="AD78" i="6"/>
  <c r="AX47" i="6"/>
  <c r="AB78" i="6"/>
  <c r="N76" i="6"/>
  <c r="AY51" i="6"/>
  <c r="E14" i="14" s="1"/>
  <c r="M76" i="6"/>
  <c r="O76" i="6"/>
  <c r="P76" i="6"/>
  <c r="X65" i="6"/>
  <c r="X67" i="6"/>
  <c r="X66" i="6" s="1"/>
  <c r="V65" i="6"/>
  <c r="V67" i="6"/>
  <c r="V66" i="6" s="1"/>
  <c r="Z65" i="6"/>
  <c r="Z76" i="6"/>
  <c r="Z67" i="6"/>
  <c r="Z66" i="6" s="1"/>
  <c r="L66" i="6"/>
  <c r="W65" i="6"/>
  <c r="W67" i="6"/>
  <c r="W66" i="6" s="1"/>
  <c r="U65" i="6"/>
  <c r="U67" i="6"/>
  <c r="R66" i="6"/>
  <c r="R71" i="6"/>
  <c r="S71" i="6" s="1"/>
  <c r="Y65" i="6"/>
  <c r="Y67" i="6"/>
  <c r="Y66" i="6" s="1"/>
  <c r="AA76" i="6"/>
  <c r="AA65" i="6"/>
  <c r="AA67" i="6"/>
  <c r="AY47" i="6" l="1"/>
  <c r="E10" i="14" s="1"/>
  <c r="AX60" i="6"/>
  <c r="T157" i="6"/>
  <c r="S159" i="6"/>
  <c r="AB67" i="6"/>
  <c r="AB68" i="6" s="1"/>
  <c r="AB69" i="6" s="1"/>
  <c r="S66" i="6"/>
  <c r="S79" i="6" s="1"/>
  <c r="AB65" i="6"/>
  <c r="S70" i="6"/>
  <c r="AQ64" i="6"/>
  <c r="AM64" i="6"/>
  <c r="AS64" i="6"/>
  <c r="AO64" i="6"/>
  <c r="AR64" i="6"/>
  <c r="AP64" i="6"/>
  <c r="AN64" i="6"/>
  <c r="AO78" i="6"/>
  <c r="AQ78" i="6"/>
  <c r="AM78" i="6"/>
  <c r="AN78" i="6"/>
  <c r="AP78" i="6"/>
  <c r="AK78" i="6"/>
  <c r="U76" i="6"/>
  <c r="S76" i="6"/>
  <c r="AY49" i="6"/>
  <c r="E12" i="14" s="1"/>
  <c r="AY50" i="6"/>
  <c r="E13" i="14" s="1"/>
  <c r="V76" i="6"/>
  <c r="X76" i="6"/>
  <c r="Y76" i="6"/>
  <c r="W76" i="6"/>
  <c r="AE65" i="6"/>
  <c r="AE67" i="6"/>
  <c r="AE66" i="6" s="1"/>
  <c r="AD65" i="6"/>
  <c r="AD67" i="6"/>
  <c r="U66" i="6"/>
  <c r="AJ65" i="6"/>
  <c r="AJ76" i="6"/>
  <c r="AJ67" i="6"/>
  <c r="AG65" i="6"/>
  <c r="AG67" i="6"/>
  <c r="AG66" i="6" s="1"/>
  <c r="AI65" i="6"/>
  <c r="AI76" i="6"/>
  <c r="AI67" i="6"/>
  <c r="AI66" i="6" s="1"/>
  <c r="AH67" i="6"/>
  <c r="AH66" i="6" s="1"/>
  <c r="AH65" i="6"/>
  <c r="AA66" i="6"/>
  <c r="AA71" i="6"/>
  <c r="AB71" i="6" s="1"/>
  <c r="AF65" i="6"/>
  <c r="AF67" i="6"/>
  <c r="AF66" i="6" s="1"/>
  <c r="AK65" i="6" l="1"/>
  <c r="AC157" i="6"/>
  <c r="AB159" i="6"/>
  <c r="AB66" i="6"/>
  <c r="AB79" i="6" s="1"/>
  <c r="AK67" i="6"/>
  <c r="AK68" i="6" s="1"/>
  <c r="AK69" i="6" s="1"/>
  <c r="AB70" i="6"/>
  <c r="AV64" i="6"/>
  <c r="AV78" i="6"/>
  <c r="AX78" i="6" s="1"/>
  <c r="AB76" i="6"/>
  <c r="AD76" i="6"/>
  <c r="AT78" i="6"/>
  <c r="AE76" i="6"/>
  <c r="AZ43" i="6"/>
  <c r="AG76" i="6"/>
  <c r="AF76" i="6"/>
  <c r="AH76" i="6"/>
  <c r="AN65" i="6"/>
  <c r="AN67" i="6"/>
  <c r="AN66" i="6" s="1"/>
  <c r="AD66" i="6"/>
  <c r="AO65" i="6"/>
  <c r="AO67" i="6"/>
  <c r="AO66" i="6" s="1"/>
  <c r="AJ66" i="6"/>
  <c r="AJ71" i="6"/>
  <c r="AK71" i="6" s="1"/>
  <c r="AQ65" i="6"/>
  <c r="AQ67" i="6"/>
  <c r="AQ66" i="6" s="1"/>
  <c r="AP65" i="6"/>
  <c r="AP67" i="6"/>
  <c r="AP66" i="6" s="1"/>
  <c r="AM67" i="6"/>
  <c r="AM65" i="6"/>
  <c r="AR65" i="6"/>
  <c r="AR76" i="6"/>
  <c r="AR67" i="6"/>
  <c r="AR66" i="6" s="1"/>
  <c r="AS65" i="6"/>
  <c r="AS76" i="6"/>
  <c r="AS67" i="6"/>
  <c r="AK66" i="6" l="1"/>
  <c r="AK79" i="6" s="1"/>
  <c r="AL157" i="6"/>
  <c r="AK159" i="6"/>
  <c r="AK70" i="6"/>
  <c r="AT65" i="6"/>
  <c r="AT67" i="6"/>
  <c r="AT68" i="6" s="1"/>
  <c r="AT69" i="6" s="1"/>
  <c r="E21" i="14"/>
  <c r="P83" i="6"/>
  <c r="L83" i="6"/>
  <c r="R83" i="6"/>
  <c r="N83" i="6"/>
  <c r="O83" i="6"/>
  <c r="M83" i="6"/>
  <c r="Q83" i="6"/>
  <c r="N97" i="6"/>
  <c r="P97" i="6"/>
  <c r="L97" i="6"/>
  <c r="M97" i="6"/>
  <c r="O97" i="6"/>
  <c r="F83" i="6"/>
  <c r="F84" i="6" s="1"/>
  <c r="H83" i="6"/>
  <c r="H86" i="6" s="1"/>
  <c r="H85" i="6" s="1"/>
  <c r="D83" i="6"/>
  <c r="D86" i="6" s="1"/>
  <c r="D85" i="6" s="1"/>
  <c r="E83" i="6"/>
  <c r="E86" i="6" s="1"/>
  <c r="E85" i="6" s="1"/>
  <c r="I83" i="6"/>
  <c r="I95" i="6" s="1"/>
  <c r="G83" i="6"/>
  <c r="G84" i="6" s="1"/>
  <c r="F97" i="6"/>
  <c r="D97" i="6"/>
  <c r="G97" i="6"/>
  <c r="E97" i="6"/>
  <c r="AK76" i="6"/>
  <c r="AV65" i="6"/>
  <c r="AX65" i="6" s="1"/>
  <c r="AV67" i="6"/>
  <c r="AX67" i="6" s="1"/>
  <c r="AM76" i="6"/>
  <c r="AP76" i="6"/>
  <c r="AM66" i="6"/>
  <c r="AN76" i="6"/>
  <c r="AS66" i="6"/>
  <c r="AS71" i="6"/>
  <c r="AT71" i="6" s="1"/>
  <c r="AO76" i="6"/>
  <c r="AQ76" i="6"/>
  <c r="C86" i="6"/>
  <c r="C84" i="6"/>
  <c r="AT66" i="6" l="1"/>
  <c r="AT79" i="6" s="1"/>
  <c r="AY79" i="6" s="1"/>
  <c r="F23" i="14" s="1"/>
  <c r="AT70" i="6"/>
  <c r="AU157" i="6"/>
  <c r="B176" i="6" s="1"/>
  <c r="AT159" i="6"/>
  <c r="F86" i="6"/>
  <c r="F85" i="6" s="1"/>
  <c r="H84" i="6"/>
  <c r="I84" i="6"/>
  <c r="I86" i="6"/>
  <c r="I85" i="6" s="1"/>
  <c r="E84" i="6"/>
  <c r="H95" i="6"/>
  <c r="D84" i="6"/>
  <c r="J97" i="6"/>
  <c r="S97" i="6"/>
  <c r="Z83" i="6"/>
  <c r="V83" i="6"/>
  <c r="X83" i="6"/>
  <c r="Y83" i="6"/>
  <c r="W83" i="6"/>
  <c r="U83" i="6"/>
  <c r="AA83" i="6"/>
  <c r="Y97" i="6"/>
  <c r="U97" i="6"/>
  <c r="W97" i="6"/>
  <c r="X97" i="6"/>
  <c r="V97" i="6"/>
  <c r="AT76" i="6"/>
  <c r="AX68" i="6"/>
  <c r="AX69" i="6" s="1"/>
  <c r="AX70" i="6" s="1"/>
  <c r="AY71" i="6"/>
  <c r="F15" i="14" s="1"/>
  <c r="C95" i="6"/>
  <c r="G86" i="6"/>
  <c r="G85" i="6" s="1"/>
  <c r="AY65" i="6"/>
  <c r="F9" i="14" s="1"/>
  <c r="AY67" i="6"/>
  <c r="F11" i="14" s="1"/>
  <c r="AV66" i="6"/>
  <c r="AX66" i="6" s="1"/>
  <c r="AX79" i="6" s="1"/>
  <c r="AV76" i="6"/>
  <c r="AX76" i="6" s="1"/>
  <c r="F95" i="6"/>
  <c r="D95" i="6"/>
  <c r="E95" i="6"/>
  <c r="P84" i="6"/>
  <c r="P86" i="6"/>
  <c r="P85" i="6" s="1"/>
  <c r="O84" i="6"/>
  <c r="O86" i="6"/>
  <c r="O85" i="6" s="1"/>
  <c r="Q84" i="6"/>
  <c r="Q95" i="6"/>
  <c r="Q86" i="6"/>
  <c r="Q85" i="6" s="1"/>
  <c r="M84" i="6"/>
  <c r="M86" i="6"/>
  <c r="M85" i="6" s="1"/>
  <c r="R95" i="6"/>
  <c r="R84" i="6"/>
  <c r="R86" i="6"/>
  <c r="L84" i="6"/>
  <c r="L86" i="6"/>
  <c r="C85" i="6"/>
  <c r="N84" i="6"/>
  <c r="N86" i="6"/>
  <c r="N85" i="6" s="1"/>
  <c r="S86" i="6" l="1"/>
  <c r="J84" i="6"/>
  <c r="S84" i="6"/>
  <c r="S87" i="6"/>
  <c r="S88" i="6" s="1"/>
  <c r="K176" i="6"/>
  <c r="J178" i="6"/>
  <c r="J85" i="6"/>
  <c r="J98" i="6" s="1"/>
  <c r="J86" i="6"/>
  <c r="J87" i="6" s="1"/>
  <c r="J88" i="6" s="1"/>
  <c r="I90" i="6"/>
  <c r="J90" i="6" s="1"/>
  <c r="AB97" i="6"/>
  <c r="L95" i="6"/>
  <c r="AJ83" i="6"/>
  <c r="AF83" i="6"/>
  <c r="AH83" i="6"/>
  <c r="AD83" i="6"/>
  <c r="AI83" i="6"/>
  <c r="AG83" i="6"/>
  <c r="AE83" i="6"/>
  <c r="AG97" i="6"/>
  <c r="AE97" i="6"/>
  <c r="AH97" i="6"/>
  <c r="AF97" i="6"/>
  <c r="AD97" i="6"/>
  <c r="AY76" i="6"/>
  <c r="F20" i="14" s="1"/>
  <c r="AY66" i="6"/>
  <c r="F10" i="14" s="1"/>
  <c r="G95" i="6"/>
  <c r="J95" i="6" s="1"/>
  <c r="AY70" i="6"/>
  <c r="F14" i="14" s="1"/>
  <c r="AY68" i="6"/>
  <c r="F12" i="14" s="1"/>
  <c r="AY69" i="6"/>
  <c r="O95" i="6"/>
  <c r="P95" i="6"/>
  <c r="N95" i="6"/>
  <c r="M95" i="6"/>
  <c r="V84" i="6"/>
  <c r="V86" i="6"/>
  <c r="V85" i="6" s="1"/>
  <c r="U84" i="6"/>
  <c r="U86" i="6"/>
  <c r="R90" i="6"/>
  <c r="S90" i="6" s="1"/>
  <c r="R85" i="6"/>
  <c r="Z84" i="6"/>
  <c r="Z95" i="6"/>
  <c r="Z86" i="6"/>
  <c r="Z85" i="6" s="1"/>
  <c r="L85" i="6"/>
  <c r="AA84" i="6"/>
  <c r="AA95" i="6"/>
  <c r="AA86" i="6"/>
  <c r="Y84" i="6"/>
  <c r="Y86" i="6"/>
  <c r="Y85" i="6" s="1"/>
  <c r="X84" i="6"/>
  <c r="X86" i="6"/>
  <c r="X85" i="6" s="1"/>
  <c r="W86" i="6"/>
  <c r="W85" i="6" s="1"/>
  <c r="W84" i="6"/>
  <c r="S85" i="6" l="1"/>
  <c r="S98" i="6" s="1"/>
  <c r="S89" i="6"/>
  <c r="AB86" i="6"/>
  <c r="AB87" i="6" s="1"/>
  <c r="AB88" i="6" s="1"/>
  <c r="T176" i="6"/>
  <c r="S178" i="6"/>
  <c r="AB84" i="6"/>
  <c r="J89" i="6"/>
  <c r="AR83" i="6"/>
  <c r="AS83" i="6"/>
  <c r="AQ83" i="6"/>
  <c r="AQ97" i="6"/>
  <c r="AP83" i="6"/>
  <c r="AN83" i="6"/>
  <c r="AO83" i="6"/>
  <c r="AM83" i="6"/>
  <c r="AN97" i="6"/>
  <c r="AP97" i="6"/>
  <c r="AM97" i="6"/>
  <c r="AO97" i="6"/>
  <c r="U95" i="6"/>
  <c r="AK97" i="6"/>
  <c r="S95" i="6"/>
  <c r="F13" i="14"/>
  <c r="AZ62" i="6"/>
  <c r="F21" i="14" s="1"/>
  <c r="X95" i="6"/>
  <c r="W95" i="6"/>
  <c r="Y95" i="6"/>
  <c r="V95" i="6"/>
  <c r="AH86" i="6"/>
  <c r="AH85" i="6" s="1"/>
  <c r="AH84" i="6"/>
  <c r="AF84" i="6"/>
  <c r="AF86" i="6"/>
  <c r="AF85" i="6" s="1"/>
  <c r="AE84" i="6"/>
  <c r="AE86" i="6"/>
  <c r="AE85" i="6" s="1"/>
  <c r="U85" i="6"/>
  <c r="AD84" i="6"/>
  <c r="AD86" i="6"/>
  <c r="AG84" i="6"/>
  <c r="AG86" i="6"/>
  <c r="AG85" i="6" s="1"/>
  <c r="AI86" i="6"/>
  <c r="AI85" i="6" s="1"/>
  <c r="AI84" i="6"/>
  <c r="AI95" i="6"/>
  <c r="AA85" i="6"/>
  <c r="AA90" i="6"/>
  <c r="AB90" i="6" s="1"/>
  <c r="AJ84" i="6"/>
  <c r="AJ86" i="6"/>
  <c r="AJ95" i="6"/>
  <c r="AK86" i="6" l="1"/>
  <c r="AB89" i="6"/>
  <c r="AK87" i="6"/>
  <c r="AK88" i="6" s="1"/>
  <c r="AC176" i="6"/>
  <c r="AB178" i="6"/>
  <c r="AB85" i="6"/>
  <c r="AB98" i="6" s="1"/>
  <c r="AK84" i="6"/>
  <c r="AW83" i="6"/>
  <c r="AW97" i="6"/>
  <c r="F116" i="6"/>
  <c r="AV83" i="6"/>
  <c r="AV97" i="6"/>
  <c r="D102" i="6"/>
  <c r="C116" i="6"/>
  <c r="D116" i="6"/>
  <c r="C102" i="6"/>
  <c r="AT97" i="6"/>
  <c r="G116" i="6"/>
  <c r="AD95" i="6"/>
  <c r="AB95" i="6"/>
  <c r="AR86" i="6"/>
  <c r="AR85" i="6" s="1"/>
  <c r="AR95" i="6"/>
  <c r="AR84" i="6"/>
  <c r="AQ86" i="6"/>
  <c r="AQ85" i="6" s="1"/>
  <c r="AQ84" i="6"/>
  <c r="AS86" i="6"/>
  <c r="AS95" i="6"/>
  <c r="AS84" i="6"/>
  <c r="AP86" i="6"/>
  <c r="AP85" i="6" s="1"/>
  <c r="AP84" i="6"/>
  <c r="AH95" i="6"/>
  <c r="AG95" i="6"/>
  <c r="AF95" i="6"/>
  <c r="AM84" i="6"/>
  <c r="AM86" i="6"/>
  <c r="AD85" i="6"/>
  <c r="AK85" i="6" s="1"/>
  <c r="AK98" i="6" s="1"/>
  <c r="AN84" i="6"/>
  <c r="AN86" i="6"/>
  <c r="AN85" i="6" s="1"/>
  <c r="AJ85" i="6"/>
  <c r="AJ90" i="6"/>
  <c r="AK90" i="6" s="1"/>
  <c r="AE95" i="6"/>
  <c r="AO84" i="6"/>
  <c r="AO86" i="6"/>
  <c r="AO85" i="6" s="1"/>
  <c r="AK89" i="6" l="1"/>
  <c r="AL176" i="6"/>
  <c r="AK178" i="6"/>
  <c r="AT86" i="6"/>
  <c r="AT84" i="6"/>
  <c r="H102" i="6"/>
  <c r="H103" i="6" s="1"/>
  <c r="E102" i="6"/>
  <c r="E105" i="6" s="1"/>
  <c r="E114" i="6" s="1"/>
  <c r="E116" i="6"/>
  <c r="J116" i="6" s="1"/>
  <c r="G102" i="6"/>
  <c r="F102" i="6"/>
  <c r="F103" i="6" s="1"/>
  <c r="P102" i="6"/>
  <c r="I102" i="6"/>
  <c r="I105" i="6" s="1"/>
  <c r="AX97" i="6"/>
  <c r="AM95" i="6"/>
  <c r="R102" i="6"/>
  <c r="AK95" i="6"/>
  <c r="AQ95" i="6"/>
  <c r="AP95" i="6"/>
  <c r="C105" i="6"/>
  <c r="C114" i="6"/>
  <c r="C103" i="6"/>
  <c r="D105" i="6"/>
  <c r="D104" i="6" s="1"/>
  <c r="D103" i="6"/>
  <c r="AS90" i="6"/>
  <c r="AT90" i="6" s="1"/>
  <c r="AS85" i="6"/>
  <c r="AW86" i="6"/>
  <c r="AW85" i="6" s="1"/>
  <c r="AW84" i="6"/>
  <c r="AV86" i="6"/>
  <c r="AV84" i="6"/>
  <c r="AN95" i="6"/>
  <c r="AO95" i="6"/>
  <c r="G103" i="6"/>
  <c r="G105" i="6"/>
  <c r="G104" i="6" s="1"/>
  <c r="AM85" i="6"/>
  <c r="AT85" i="6" s="1"/>
  <c r="AT98" i="6" s="1"/>
  <c r="AY98" i="6" s="1"/>
  <c r="G23" i="14" s="1"/>
  <c r="E103" i="6" l="1"/>
  <c r="H105" i="6"/>
  <c r="H104" i="6" s="1"/>
  <c r="H114" i="6"/>
  <c r="F105" i="6"/>
  <c r="F114" i="6" s="1"/>
  <c r="AT87" i="6"/>
  <c r="AT88" i="6" s="1"/>
  <c r="AT89" i="6" s="1"/>
  <c r="AU176" i="6"/>
  <c r="B195" i="6" s="1"/>
  <c r="AT178" i="6"/>
  <c r="AX84" i="6"/>
  <c r="AY84" i="6" s="1"/>
  <c r="G9" i="14" s="1"/>
  <c r="I114" i="6"/>
  <c r="P116" i="6"/>
  <c r="M116" i="6"/>
  <c r="N116" i="6"/>
  <c r="M102" i="6"/>
  <c r="L102" i="6"/>
  <c r="O102" i="6"/>
  <c r="L116" i="6"/>
  <c r="Q102" i="6"/>
  <c r="I103" i="6"/>
  <c r="J103" i="6" s="1"/>
  <c r="O116" i="6"/>
  <c r="N102" i="6"/>
  <c r="D114" i="6"/>
  <c r="AV95" i="6"/>
  <c r="AX86" i="6"/>
  <c r="AY86" i="6" s="1"/>
  <c r="G11" i="14" s="1"/>
  <c r="AY90" i="6"/>
  <c r="G15" i="14" s="1"/>
  <c r="AT95" i="6"/>
  <c r="G114" i="6"/>
  <c r="AW95" i="6"/>
  <c r="C104" i="6"/>
  <c r="AV85" i="6"/>
  <c r="AX85" i="6" s="1"/>
  <c r="AX98" i="6" s="1"/>
  <c r="E104" i="6"/>
  <c r="I104" i="6"/>
  <c r="I109" i="6"/>
  <c r="J109" i="6" s="1"/>
  <c r="F104" i="6" l="1"/>
  <c r="J105" i="6"/>
  <c r="J106" i="6" s="1"/>
  <c r="J107" i="6" s="1"/>
  <c r="J108" i="6"/>
  <c r="J104" i="6"/>
  <c r="J117" i="6" s="1"/>
  <c r="K195" i="6"/>
  <c r="J197" i="6"/>
  <c r="V116" i="6"/>
  <c r="W102" i="6"/>
  <c r="Y102" i="6"/>
  <c r="W116" i="6"/>
  <c r="V102" i="6"/>
  <c r="U116" i="6"/>
  <c r="X102" i="6"/>
  <c r="Z102" i="6"/>
  <c r="AF102" i="6"/>
  <c r="AA102" i="6"/>
  <c r="X116" i="6"/>
  <c r="Y116" i="6"/>
  <c r="U102" i="6"/>
  <c r="S116" i="6"/>
  <c r="J114" i="6"/>
  <c r="AJ102" i="6"/>
  <c r="AI102" i="6"/>
  <c r="AE102" i="6"/>
  <c r="AH102" i="6"/>
  <c r="AD102" i="6"/>
  <c r="AG102" i="6"/>
  <c r="AG116" i="6"/>
  <c r="AE116" i="6"/>
  <c r="AH116" i="6"/>
  <c r="AF116" i="6"/>
  <c r="AD116" i="6"/>
  <c r="AX87" i="6"/>
  <c r="AX88" i="6" s="1"/>
  <c r="AX89" i="6" s="1"/>
  <c r="AY89" i="6" s="1"/>
  <c r="G14" i="14" s="1"/>
  <c r="AX95" i="6"/>
  <c r="AY95" i="6" s="1"/>
  <c r="G20" i="14" s="1"/>
  <c r="AY85" i="6"/>
  <c r="G10" i="14" s="1"/>
  <c r="AS102" i="6"/>
  <c r="T195" i="6" l="1"/>
  <c r="S197" i="6"/>
  <c r="AB116" i="6"/>
  <c r="AP102" i="6"/>
  <c r="AO102" i="6"/>
  <c r="AR102" i="6"/>
  <c r="AN102" i="6"/>
  <c r="AQ102" i="6"/>
  <c r="AM102" i="6"/>
  <c r="AO116" i="6"/>
  <c r="AQ116" i="6"/>
  <c r="AM116" i="6"/>
  <c r="AP116" i="6"/>
  <c r="AN116" i="6"/>
  <c r="AK116" i="6"/>
  <c r="AY87" i="6"/>
  <c r="G12" i="14" s="1"/>
  <c r="AY88" i="6"/>
  <c r="AZ81" i="6" s="1"/>
  <c r="G21" i="14" s="1"/>
  <c r="AC195" i="6" l="1"/>
  <c r="AB197" i="6"/>
  <c r="AT116" i="6"/>
  <c r="G13" i="14"/>
  <c r="AQ103" i="6"/>
  <c r="AQ105" i="6"/>
  <c r="AQ104" i="6" s="1"/>
  <c r="AE105" i="6"/>
  <c r="AE104" i="6" s="1"/>
  <c r="Z114" i="6"/>
  <c r="P103" i="6"/>
  <c r="AS114" i="6"/>
  <c r="AI114" i="6"/>
  <c r="AR103" i="6"/>
  <c r="AR105" i="6"/>
  <c r="AR104" i="6" s="1"/>
  <c r="AG103" i="6"/>
  <c r="Y103" i="6"/>
  <c r="AO103" i="6"/>
  <c r="O105" i="6"/>
  <c r="O104" i="6" s="1"/>
  <c r="Q103" i="6"/>
  <c r="AF105" i="6"/>
  <c r="AF104" i="6" s="1"/>
  <c r="AJ114" i="6"/>
  <c r="AW103" i="6"/>
  <c r="AW105" i="6"/>
  <c r="AW104" i="6" s="1"/>
  <c r="R114" i="6"/>
  <c r="AX102" i="6"/>
  <c r="AN105" i="6"/>
  <c r="AN104" i="6" s="1"/>
  <c r="AA105" i="6"/>
  <c r="AA104" i="6" s="1"/>
  <c r="AD103" i="6"/>
  <c r="M105" i="6"/>
  <c r="M104" i="6" s="1"/>
  <c r="U109" i="6"/>
  <c r="AV103" i="6"/>
  <c r="AL195" i="6" l="1"/>
  <c r="AK197" i="6"/>
  <c r="AX103" i="6"/>
  <c r="AQ114" i="6"/>
  <c r="AF114" i="6"/>
  <c r="N109" i="6"/>
  <c r="N103" i="6"/>
  <c r="AM103" i="6"/>
  <c r="U103" i="6"/>
  <c r="AD109" i="6"/>
  <c r="M109" i="6"/>
  <c r="AV105" i="6"/>
  <c r="AV114" i="6"/>
  <c r="AA114" i="6"/>
  <c r="AA103" i="6"/>
  <c r="L109" i="6"/>
  <c r="AA109" i="6"/>
  <c r="U105" i="6"/>
  <c r="AP103" i="6"/>
  <c r="AP105" i="6"/>
  <c r="AP104" i="6" s="1"/>
  <c r="AM109" i="6"/>
  <c r="AV109" i="6"/>
  <c r="N105" i="6"/>
  <c r="N104" i="6" s="1"/>
  <c r="AM105" i="6"/>
  <c r="M103" i="6"/>
  <c r="M114" i="6"/>
  <c r="AD105" i="6"/>
  <c r="AN109" i="6"/>
  <c r="AF109" i="6"/>
  <c r="X103" i="6"/>
  <c r="X105" i="6"/>
  <c r="Q105" i="6"/>
  <c r="Q104" i="6" s="1"/>
  <c r="AO105" i="6"/>
  <c r="AO104" i="6" s="1"/>
  <c r="AG105" i="6"/>
  <c r="AG104" i="6" s="1"/>
  <c r="AR109" i="6"/>
  <c r="AJ103" i="6"/>
  <c r="V105" i="6"/>
  <c r="AE114" i="6"/>
  <c r="V103" i="6"/>
  <c r="O103" i="6"/>
  <c r="R105" i="6"/>
  <c r="R104" i="6" s="1"/>
  <c r="W105" i="6"/>
  <c r="AW109" i="6"/>
  <c r="AJ105" i="6"/>
  <c r="AJ104" i="6" s="1"/>
  <c r="Y105" i="6"/>
  <c r="Y104" i="6" s="1"/>
  <c r="AI109" i="6"/>
  <c r="AS105" i="6"/>
  <c r="AS104" i="6" s="1"/>
  <c r="P105" i="6"/>
  <c r="P104" i="6" s="1"/>
  <c r="Z109" i="6"/>
  <c r="Q114" i="6"/>
  <c r="AH109" i="6"/>
  <c r="AE103" i="6"/>
  <c r="AS103" i="6"/>
  <c r="X109" i="6"/>
  <c r="Q109" i="6"/>
  <c r="R103" i="6"/>
  <c r="O114" i="6"/>
  <c r="AO109" i="6"/>
  <c r="AG109" i="6"/>
  <c r="V109" i="6"/>
  <c r="AI103" i="6"/>
  <c r="Z103" i="6"/>
  <c r="W103" i="6"/>
  <c r="AE109" i="6"/>
  <c r="AH103" i="6"/>
  <c r="AG114" i="6"/>
  <c r="AF103" i="6"/>
  <c r="AR114" i="6"/>
  <c r="AN103" i="6"/>
  <c r="AN114" i="6"/>
  <c r="AP109" i="6"/>
  <c r="W109" i="6"/>
  <c r="O109" i="6"/>
  <c r="Y109" i="6"/>
  <c r="AI105" i="6"/>
  <c r="AI104" i="6" s="1"/>
  <c r="P109" i="6"/>
  <c r="Z105" i="6"/>
  <c r="Z104" i="6" s="1"/>
  <c r="AH105" i="6"/>
  <c r="AQ109" i="6"/>
  <c r="AW114" i="6"/>
  <c r="L103" i="6"/>
  <c r="L105" i="6"/>
  <c r="AO114" i="6" l="1"/>
  <c r="AB109" i="6"/>
  <c r="AK103" i="6"/>
  <c r="AT105" i="6"/>
  <c r="AT106" i="6" s="1"/>
  <c r="AT107" i="6" s="1"/>
  <c r="AT103" i="6"/>
  <c r="AU195" i="6"/>
  <c r="B214" i="6" s="1"/>
  <c r="AT197" i="6"/>
  <c r="S105" i="6"/>
  <c r="S106" i="6" s="1"/>
  <c r="S107" i="6" s="1"/>
  <c r="AK105" i="6"/>
  <c r="AK106" i="6" s="1"/>
  <c r="AK107" i="6" s="1"/>
  <c r="S103" i="6"/>
  <c r="AB105" i="6"/>
  <c r="AB106" i="6" s="1"/>
  <c r="AB107" i="6" s="1"/>
  <c r="AB108" i="6" s="1"/>
  <c r="AT109" i="6"/>
  <c r="AB103" i="6"/>
  <c r="AS109" i="6"/>
  <c r="AX105" i="6"/>
  <c r="AX109" i="6"/>
  <c r="U114" i="6"/>
  <c r="AX114" i="6"/>
  <c r="Y114" i="6"/>
  <c r="R109" i="6"/>
  <c r="S109" i="6" s="1"/>
  <c r="AD114" i="6"/>
  <c r="AH104" i="6"/>
  <c r="AH114" i="6"/>
  <c r="V104" i="6"/>
  <c r="V114" i="6"/>
  <c r="X104" i="6"/>
  <c r="X114" i="6"/>
  <c r="W104" i="6"/>
  <c r="W114" i="6"/>
  <c r="AP114" i="6"/>
  <c r="AM114" i="6"/>
  <c r="AJ109" i="6"/>
  <c r="AK109" i="6" s="1"/>
  <c r="P114" i="6"/>
  <c r="U104" i="6"/>
  <c r="L104" i="6"/>
  <c r="S104" i="6" s="1"/>
  <c r="S117" i="6" s="1"/>
  <c r="AD104" i="6"/>
  <c r="AK104" i="6" s="1"/>
  <c r="AK117" i="6" s="1"/>
  <c r="AM104" i="6"/>
  <c r="AT104" i="6" s="1"/>
  <c r="AT117" i="6" s="1"/>
  <c r="AV104" i="6"/>
  <c r="AX104" i="6" s="1"/>
  <c r="AX117" i="6" s="1"/>
  <c r="N114" i="6"/>
  <c r="L114" i="6"/>
  <c r="AT108" i="6" l="1"/>
  <c r="AB104" i="6"/>
  <c r="AB117" i="6" s="1"/>
  <c r="AY117" i="6" s="1"/>
  <c r="H23" i="14" s="1"/>
  <c r="K214" i="6"/>
  <c r="J216" i="6"/>
  <c r="AK108" i="6"/>
  <c r="S108" i="6"/>
  <c r="G121" i="6"/>
  <c r="H121" i="6"/>
  <c r="H124" i="6" s="1"/>
  <c r="E121" i="6"/>
  <c r="G135" i="6"/>
  <c r="E135" i="6"/>
  <c r="C121" i="6"/>
  <c r="D121" i="6"/>
  <c r="F121" i="6"/>
  <c r="C135" i="6"/>
  <c r="D135" i="6"/>
  <c r="F135" i="6"/>
  <c r="AK114" i="6"/>
  <c r="AX106" i="6"/>
  <c r="AX107" i="6" s="1"/>
  <c r="AX108" i="6" s="1"/>
  <c r="I121" i="6"/>
  <c r="I133" i="6" s="1"/>
  <c r="S114" i="6"/>
  <c r="AB114" i="6"/>
  <c r="AT114" i="6"/>
  <c r="AY103" i="6"/>
  <c r="H9" i="14" s="1"/>
  <c r="AY105" i="6"/>
  <c r="H11" i="14" s="1"/>
  <c r="AY109" i="6"/>
  <c r="H15" i="14" s="1"/>
  <c r="T214" i="6" l="1"/>
  <c r="S216" i="6"/>
  <c r="J135" i="6"/>
  <c r="Y121" i="6"/>
  <c r="U121" i="6"/>
  <c r="X121" i="6"/>
  <c r="AA121" i="6"/>
  <c r="W121" i="6"/>
  <c r="Z121" i="6"/>
  <c r="V121" i="6"/>
  <c r="Y135" i="6"/>
  <c r="U135" i="6"/>
  <c r="W135" i="6"/>
  <c r="V135" i="6"/>
  <c r="X135" i="6"/>
  <c r="O121" i="6"/>
  <c r="O122" i="6" s="1"/>
  <c r="R121" i="6"/>
  <c r="R133" i="6" s="1"/>
  <c r="N121" i="6"/>
  <c r="N124" i="6" s="1"/>
  <c r="N123" i="6" s="1"/>
  <c r="Q121" i="6"/>
  <c r="Q124" i="6" s="1"/>
  <c r="Q123" i="6" s="1"/>
  <c r="M121" i="6"/>
  <c r="M124" i="6" s="1"/>
  <c r="M123" i="6" s="1"/>
  <c r="P121" i="6"/>
  <c r="P122" i="6" s="1"/>
  <c r="L121" i="6"/>
  <c r="L124" i="6" s="1"/>
  <c r="M135" i="6"/>
  <c r="O135" i="6"/>
  <c r="N135" i="6"/>
  <c r="L135" i="6"/>
  <c r="P135" i="6"/>
  <c r="AY104" i="6"/>
  <c r="H10" i="14" s="1"/>
  <c r="D124" i="6"/>
  <c r="D122" i="6"/>
  <c r="C124" i="6"/>
  <c r="C122" i="6"/>
  <c r="AY114" i="6"/>
  <c r="H20" i="14" s="1"/>
  <c r="H133" i="6"/>
  <c r="H122" i="6"/>
  <c r="F122" i="6"/>
  <c r="F124" i="6"/>
  <c r="F123" i="6" s="1"/>
  <c r="F133" i="6"/>
  <c r="E124" i="6"/>
  <c r="E122" i="6"/>
  <c r="G124" i="6"/>
  <c r="G133" i="6" s="1"/>
  <c r="G122" i="6"/>
  <c r="I122" i="6"/>
  <c r="I124" i="6"/>
  <c r="I123" i="6" s="1"/>
  <c r="AY108" i="6"/>
  <c r="H14" i="14" s="1"/>
  <c r="N122" i="6"/>
  <c r="H123" i="6"/>
  <c r="J124" i="6" l="1"/>
  <c r="J125" i="6" s="1"/>
  <c r="J126" i="6" s="1"/>
  <c r="AC214" i="6"/>
  <c r="AB216" i="6"/>
  <c r="J122" i="6"/>
  <c r="L122" i="6"/>
  <c r="AB135" i="6"/>
  <c r="O124" i="6"/>
  <c r="O123" i="6" s="1"/>
  <c r="M122" i="6"/>
  <c r="R122" i="6"/>
  <c r="R124" i="6"/>
  <c r="R128" i="6" s="1"/>
  <c r="S128" i="6" s="1"/>
  <c r="L133" i="6"/>
  <c r="AI121" i="6"/>
  <c r="AE121" i="6"/>
  <c r="AH121" i="6"/>
  <c r="AD121" i="6"/>
  <c r="AG121" i="6"/>
  <c r="AJ121" i="6"/>
  <c r="AF121" i="6"/>
  <c r="AG135" i="6"/>
  <c r="AE135" i="6"/>
  <c r="AD135" i="6"/>
  <c r="AH135" i="6"/>
  <c r="AF135" i="6"/>
  <c r="S135" i="6"/>
  <c r="Q122" i="6"/>
  <c r="AY106" i="6"/>
  <c r="H12" i="14" s="1"/>
  <c r="P124" i="6"/>
  <c r="P123" i="6" s="1"/>
  <c r="Q133" i="6"/>
  <c r="N133" i="6"/>
  <c r="M133" i="6"/>
  <c r="AY107" i="6"/>
  <c r="AZ100" i="6" s="1"/>
  <c r="C133" i="6"/>
  <c r="C123" i="6"/>
  <c r="D133" i="6"/>
  <c r="D123" i="6"/>
  <c r="I128" i="6"/>
  <c r="J128" i="6" s="1"/>
  <c r="E123" i="6"/>
  <c r="E133" i="6"/>
  <c r="G123" i="6"/>
  <c r="L123" i="6"/>
  <c r="V122" i="6"/>
  <c r="V124" i="6"/>
  <c r="V123" i="6" s="1"/>
  <c r="Y122" i="6"/>
  <c r="Y124" i="6"/>
  <c r="Y123" i="6" s="1"/>
  <c r="Z124" i="6"/>
  <c r="Z123" i="6" s="1"/>
  <c r="Z122" i="6"/>
  <c r="Z133" i="6"/>
  <c r="U124" i="6"/>
  <c r="U122" i="6"/>
  <c r="W122" i="6"/>
  <c r="W124" i="6"/>
  <c r="W123" i="6" s="1"/>
  <c r="X122" i="6"/>
  <c r="X124" i="6"/>
  <c r="X123" i="6" s="1"/>
  <c r="AA133" i="6"/>
  <c r="AA122" i="6"/>
  <c r="AA124" i="6"/>
  <c r="O133" i="6" l="1"/>
  <c r="AB122" i="6"/>
  <c r="AL214" i="6"/>
  <c r="AK216" i="6"/>
  <c r="J123" i="6"/>
  <c r="J136" i="6" s="1"/>
  <c r="S122" i="6"/>
  <c r="S124" i="6"/>
  <c r="S125" i="6" s="1"/>
  <c r="S126" i="6" s="1"/>
  <c r="S127" i="6" s="1"/>
  <c r="AB124" i="6"/>
  <c r="J127" i="6"/>
  <c r="P133" i="6"/>
  <c r="R123" i="6"/>
  <c r="S123" i="6" s="1"/>
  <c r="S136" i="6" s="1"/>
  <c r="H13" i="14"/>
  <c r="U133" i="6"/>
  <c r="S133" i="6"/>
  <c r="AS121" i="6"/>
  <c r="AO121" i="6"/>
  <c r="AR121" i="6"/>
  <c r="AN121" i="6"/>
  <c r="AQ121" i="6"/>
  <c r="AM121" i="6"/>
  <c r="AP121" i="6"/>
  <c r="AO135" i="6"/>
  <c r="AQ135" i="6"/>
  <c r="AM135" i="6"/>
  <c r="AP135" i="6"/>
  <c r="AN135" i="6"/>
  <c r="J133" i="6"/>
  <c r="AK135" i="6"/>
  <c r="W133" i="6"/>
  <c r="Y133" i="6"/>
  <c r="X133" i="6"/>
  <c r="V133" i="6"/>
  <c r="AD124" i="6"/>
  <c r="AD122" i="6"/>
  <c r="AI133" i="6"/>
  <c r="AI124" i="6"/>
  <c r="AI123" i="6" s="1"/>
  <c r="AI122" i="6"/>
  <c r="AF122" i="6"/>
  <c r="AF124" i="6"/>
  <c r="AF123" i="6" s="1"/>
  <c r="U123" i="6"/>
  <c r="AE122" i="6"/>
  <c r="AE124" i="6"/>
  <c r="AE123" i="6" s="1"/>
  <c r="AG122" i="6"/>
  <c r="AG124" i="6"/>
  <c r="AG123" i="6" s="1"/>
  <c r="AA128" i="6"/>
  <c r="AB128" i="6" s="1"/>
  <c r="AA123" i="6"/>
  <c r="H21" i="14"/>
  <c r="AH122" i="6"/>
  <c r="AH124" i="6"/>
  <c r="AH123" i="6" s="1"/>
  <c r="AJ133" i="6"/>
  <c r="AJ124" i="6"/>
  <c r="AJ122" i="6"/>
  <c r="AB123" i="6" l="1"/>
  <c r="AB136" i="6" s="1"/>
  <c r="AB125" i="6"/>
  <c r="AB126" i="6" s="1"/>
  <c r="AB127" i="6" s="1"/>
  <c r="AK122" i="6"/>
  <c r="AU214" i="6"/>
  <c r="AT216" i="6"/>
  <c r="AK124" i="6"/>
  <c r="AK125" i="6" s="1"/>
  <c r="AK126" i="6" s="1"/>
  <c r="AT135" i="6"/>
  <c r="AW121" i="6"/>
  <c r="AW122" i="6" s="1"/>
  <c r="AV121" i="6"/>
  <c r="AW135" i="6"/>
  <c r="AV135" i="6"/>
  <c r="AD133" i="6"/>
  <c r="AB133" i="6"/>
  <c r="AH133" i="6"/>
  <c r="AG133" i="6"/>
  <c r="AE133" i="6"/>
  <c r="AF133" i="6"/>
  <c r="AN122" i="6"/>
  <c r="AN124" i="6"/>
  <c r="AN123" i="6" s="1"/>
  <c r="AP122" i="6"/>
  <c r="AP124" i="6"/>
  <c r="AP123" i="6" s="1"/>
  <c r="AD123" i="6"/>
  <c r="AM124" i="6"/>
  <c r="AM122" i="6"/>
  <c r="AR122" i="6"/>
  <c r="AR133" i="6"/>
  <c r="AR124" i="6"/>
  <c r="AR123" i="6" s="1"/>
  <c r="AJ128" i="6"/>
  <c r="AK128" i="6" s="1"/>
  <c r="AJ123" i="6"/>
  <c r="AQ124" i="6"/>
  <c r="AQ123" i="6" s="1"/>
  <c r="AQ122" i="6"/>
  <c r="AO122" i="6"/>
  <c r="AO124" i="6"/>
  <c r="AO123" i="6" s="1"/>
  <c r="AS122" i="6"/>
  <c r="AS133" i="6"/>
  <c r="AS124" i="6"/>
  <c r="AW124" i="6" l="1"/>
  <c r="AW123" i="6" s="1"/>
  <c r="AK123" i="6"/>
  <c r="AK136" i="6" s="1"/>
  <c r="AK127" i="6"/>
  <c r="AT122" i="6"/>
  <c r="AT124" i="6"/>
  <c r="C140" i="6"/>
  <c r="D140" i="6"/>
  <c r="C154" i="6"/>
  <c r="D154" i="6"/>
  <c r="AW133" i="6"/>
  <c r="AX135" i="6"/>
  <c r="H140" i="6"/>
  <c r="G140" i="6"/>
  <c r="F140" i="6"/>
  <c r="I140" i="6"/>
  <c r="E140" i="6"/>
  <c r="F154" i="6"/>
  <c r="E154" i="6"/>
  <c r="G154" i="6"/>
  <c r="AK133" i="6"/>
  <c r="AP133" i="6"/>
  <c r="AM133" i="6"/>
  <c r="AQ133" i="6"/>
  <c r="AO133" i="6"/>
  <c r="AV124" i="6"/>
  <c r="AX124" i="6" s="1"/>
  <c r="AV122" i="6"/>
  <c r="AX122" i="6" s="1"/>
  <c r="AN133" i="6"/>
  <c r="AM123" i="6"/>
  <c r="AS128" i="6"/>
  <c r="AT128" i="6" s="1"/>
  <c r="AS123" i="6"/>
  <c r="AV133" i="6" l="1"/>
  <c r="AX133" i="6" s="1"/>
  <c r="AT123" i="6"/>
  <c r="AT136" i="6" s="1"/>
  <c r="AY136" i="6" s="1"/>
  <c r="I23" i="14" s="1"/>
  <c r="AT125" i="6"/>
  <c r="AT126" i="6" s="1"/>
  <c r="AT127" i="6" s="1"/>
  <c r="J154" i="6"/>
  <c r="R140" i="6"/>
  <c r="N140" i="6"/>
  <c r="Q140" i="6"/>
  <c r="M140" i="6"/>
  <c r="P140" i="6"/>
  <c r="L140" i="6"/>
  <c r="O140" i="6"/>
  <c r="N154" i="6"/>
  <c r="P154" i="6"/>
  <c r="L154" i="6"/>
  <c r="M154" i="6"/>
  <c r="O154" i="6"/>
  <c r="AX125" i="6"/>
  <c r="AX126" i="6" s="1"/>
  <c r="AX127" i="6" s="1"/>
  <c r="AT133" i="6"/>
  <c r="AY133" i="6" s="1"/>
  <c r="I20" i="14" s="1"/>
  <c r="AY128" i="6"/>
  <c r="I15" i="14" s="1"/>
  <c r="C141" i="6"/>
  <c r="C143" i="6"/>
  <c r="AY122" i="6"/>
  <c r="I9" i="14" s="1"/>
  <c r="D152" i="6"/>
  <c r="D143" i="6"/>
  <c r="D141" i="6"/>
  <c r="E141" i="6"/>
  <c r="E143" i="6"/>
  <c r="E142" i="6" s="1"/>
  <c r="H141" i="6"/>
  <c r="H152" i="6"/>
  <c r="H143" i="6"/>
  <c r="H142" i="6" s="1"/>
  <c r="I141" i="6"/>
  <c r="I152" i="6"/>
  <c r="I143" i="6"/>
  <c r="G141" i="6"/>
  <c r="G143" i="6"/>
  <c r="G142" i="6" s="1"/>
  <c r="AY124" i="6"/>
  <c r="I11" i="14" s="1"/>
  <c r="AV123" i="6"/>
  <c r="AX123" i="6" s="1"/>
  <c r="AX136" i="6" s="1"/>
  <c r="F141" i="6"/>
  <c r="F143" i="6"/>
  <c r="F142" i="6" s="1"/>
  <c r="J143" i="6" l="1"/>
  <c r="J144" i="6" s="1"/>
  <c r="J145" i="6" s="1"/>
  <c r="J141" i="6"/>
  <c r="S154" i="6"/>
  <c r="X140" i="6"/>
  <c r="AA140" i="6"/>
  <c r="W140" i="6"/>
  <c r="Z140" i="6"/>
  <c r="V140" i="6"/>
  <c r="Y140" i="6"/>
  <c r="U140" i="6"/>
  <c r="V154" i="6"/>
  <c r="X154" i="6"/>
  <c r="U154" i="6"/>
  <c r="W154" i="6"/>
  <c r="Y154" i="6"/>
  <c r="G152" i="6"/>
  <c r="C152" i="6"/>
  <c r="E152" i="6"/>
  <c r="F152" i="6"/>
  <c r="C142" i="6"/>
  <c r="AY127" i="6"/>
  <c r="I14" i="14" s="1"/>
  <c r="AY123" i="6"/>
  <c r="I10" i="14" s="1"/>
  <c r="D142" i="6"/>
  <c r="Q141" i="6"/>
  <c r="Q152" i="6"/>
  <c r="Q143" i="6"/>
  <c r="Q142" i="6" s="1"/>
  <c r="L141" i="6"/>
  <c r="L143" i="6"/>
  <c r="N141" i="6"/>
  <c r="N143" i="6"/>
  <c r="N142" i="6" s="1"/>
  <c r="P141" i="6"/>
  <c r="P143" i="6"/>
  <c r="P142" i="6" s="1"/>
  <c r="O141" i="6"/>
  <c r="O143" i="6"/>
  <c r="O142" i="6" s="1"/>
  <c r="R141" i="6"/>
  <c r="R152" i="6"/>
  <c r="R143" i="6"/>
  <c r="M141" i="6"/>
  <c r="M143" i="6"/>
  <c r="M142" i="6" s="1"/>
  <c r="I142" i="6"/>
  <c r="I147" i="6"/>
  <c r="J147" i="6" s="1"/>
  <c r="S143" i="6" l="1"/>
  <c r="J142" i="6"/>
  <c r="J155" i="6" s="1"/>
  <c r="S141" i="6"/>
  <c r="J146" i="6"/>
  <c r="J152" i="6"/>
  <c r="L152" i="6"/>
  <c r="AH140" i="6"/>
  <c r="AD140" i="6"/>
  <c r="AG140" i="6"/>
  <c r="AJ140" i="6"/>
  <c r="AF140" i="6"/>
  <c r="AI140" i="6"/>
  <c r="AE140" i="6"/>
  <c r="AH154" i="6"/>
  <c r="AD154" i="6"/>
  <c r="AF154" i="6"/>
  <c r="AG154" i="6"/>
  <c r="AE154" i="6"/>
  <c r="AB154" i="6"/>
  <c r="AY125" i="6"/>
  <c r="I12" i="14" s="1"/>
  <c r="P152" i="6"/>
  <c r="N152" i="6"/>
  <c r="O152" i="6"/>
  <c r="M152" i="6"/>
  <c r="AY126" i="6"/>
  <c r="Y141" i="6"/>
  <c r="Y143" i="6"/>
  <c r="Y142" i="6" s="1"/>
  <c r="V141" i="6"/>
  <c r="V143" i="6"/>
  <c r="V142" i="6" s="1"/>
  <c r="W143" i="6"/>
  <c r="W142" i="6" s="1"/>
  <c r="W141" i="6"/>
  <c r="R142" i="6"/>
  <c r="R147" i="6"/>
  <c r="S147" i="6" s="1"/>
  <c r="X141" i="6"/>
  <c r="X143" i="6"/>
  <c r="X142" i="6" s="1"/>
  <c r="Z152" i="6"/>
  <c r="Z143" i="6"/>
  <c r="Z142" i="6" s="1"/>
  <c r="Z141" i="6"/>
  <c r="L142" i="6"/>
  <c r="U141" i="6"/>
  <c r="U143" i="6"/>
  <c r="AA152" i="6"/>
  <c r="AA141" i="6"/>
  <c r="AA143" i="6"/>
  <c r="AB141" i="6" l="1"/>
  <c r="S142" i="6"/>
  <c r="S155" i="6" s="1"/>
  <c r="AB143" i="6"/>
  <c r="S144" i="6"/>
  <c r="S145" i="6" s="1"/>
  <c r="S146" i="6" s="1"/>
  <c r="AR140" i="6"/>
  <c r="AS140" i="6"/>
  <c r="AK154" i="6"/>
  <c r="U152" i="6"/>
  <c r="S152" i="6"/>
  <c r="AN140" i="6"/>
  <c r="AQ140" i="6"/>
  <c r="AM140" i="6"/>
  <c r="AP140" i="6"/>
  <c r="AO140" i="6"/>
  <c r="AP154" i="6"/>
  <c r="AN154" i="6"/>
  <c r="AM154" i="6"/>
  <c r="AQ154" i="6"/>
  <c r="AO154" i="6"/>
  <c r="W152" i="6"/>
  <c r="X152" i="6"/>
  <c r="V152" i="6"/>
  <c r="Y152" i="6"/>
  <c r="I13" i="14"/>
  <c r="AZ119" i="6"/>
  <c r="I21" i="14" s="1"/>
  <c r="AF141" i="6"/>
  <c r="AF143" i="6"/>
  <c r="AF142" i="6" s="1"/>
  <c r="U142" i="6"/>
  <c r="AH141" i="6"/>
  <c r="AH143" i="6"/>
  <c r="AH142" i="6" s="1"/>
  <c r="AD141" i="6"/>
  <c r="AD143" i="6"/>
  <c r="AA142" i="6"/>
  <c r="AA147" i="6"/>
  <c r="AB147" i="6" s="1"/>
  <c r="AI141" i="6"/>
  <c r="AI152" i="6"/>
  <c r="AI143" i="6"/>
  <c r="AI142" i="6" s="1"/>
  <c r="AE141" i="6"/>
  <c r="AE143" i="6"/>
  <c r="AE142" i="6" s="1"/>
  <c r="AJ141" i="6"/>
  <c r="AJ152" i="6"/>
  <c r="AJ143" i="6"/>
  <c r="AG143" i="6"/>
  <c r="AG142" i="6" s="1"/>
  <c r="AG141" i="6"/>
  <c r="AK143" i="6" l="1"/>
  <c r="AB142" i="6"/>
  <c r="AB155" i="6" s="1"/>
  <c r="AK141" i="6"/>
  <c r="AB145" i="6"/>
  <c r="AB146" i="6" s="1"/>
  <c r="AB144" i="6"/>
  <c r="AW140" i="6"/>
  <c r="AW154" i="6"/>
  <c r="I159" i="6"/>
  <c r="AV140" i="6"/>
  <c r="AV154" i="6"/>
  <c r="AT154" i="6"/>
  <c r="AB152" i="6"/>
  <c r="AE152" i="6"/>
  <c r="AQ143" i="6"/>
  <c r="AQ142" i="6" s="1"/>
  <c r="AQ152" i="6"/>
  <c r="AQ141" i="6"/>
  <c r="AS143" i="6"/>
  <c r="AS141" i="6"/>
  <c r="AS152" i="6"/>
  <c r="AR143" i="6"/>
  <c r="AR142" i="6" s="1"/>
  <c r="AR152" i="6"/>
  <c r="AR141" i="6"/>
  <c r="AG152" i="6"/>
  <c r="AD142" i="6"/>
  <c r="AK142" i="6" s="1"/>
  <c r="AK155" i="6" s="1"/>
  <c r="AN141" i="6"/>
  <c r="AN143" i="6"/>
  <c r="AN142" i="6" s="1"/>
  <c r="AJ142" i="6"/>
  <c r="AJ147" i="6"/>
  <c r="AK147" i="6" s="1"/>
  <c r="AP141" i="6"/>
  <c r="AP143" i="6"/>
  <c r="AP142" i="6" s="1"/>
  <c r="AO141" i="6"/>
  <c r="AO143" i="6"/>
  <c r="AO142" i="6" s="1"/>
  <c r="AD152" i="6"/>
  <c r="AH152" i="6"/>
  <c r="AF152" i="6"/>
  <c r="AM141" i="6"/>
  <c r="AT141" i="6" s="1"/>
  <c r="AM143" i="6"/>
  <c r="AX154" i="6" l="1"/>
  <c r="AT143" i="6"/>
  <c r="AT144" i="6" s="1"/>
  <c r="AT145" i="6" s="1"/>
  <c r="AK144" i="6"/>
  <c r="AK145" i="6" s="1"/>
  <c r="AK146" i="6" s="1"/>
  <c r="H159" i="6"/>
  <c r="H171" i="6" s="1"/>
  <c r="AW141" i="6"/>
  <c r="AW143" i="6"/>
  <c r="AW142" i="6" s="1"/>
  <c r="D159" i="6"/>
  <c r="D160" i="6" s="1"/>
  <c r="E173" i="6"/>
  <c r="F173" i="6"/>
  <c r="G173" i="6"/>
  <c r="D173" i="6"/>
  <c r="G159" i="6"/>
  <c r="G162" i="6" s="1"/>
  <c r="G171" i="6" s="1"/>
  <c r="E159" i="6"/>
  <c r="F159" i="6"/>
  <c r="F162" i="6" s="1"/>
  <c r="F171" i="6" s="1"/>
  <c r="AM152" i="6"/>
  <c r="AK152" i="6"/>
  <c r="Q159" i="6"/>
  <c r="M159" i="6"/>
  <c r="P159" i="6"/>
  <c r="L159" i="6"/>
  <c r="O159" i="6"/>
  <c r="R159" i="6"/>
  <c r="N159" i="6"/>
  <c r="O173" i="6"/>
  <c r="M173" i="6"/>
  <c r="N173" i="6"/>
  <c r="P173" i="6"/>
  <c r="L173" i="6"/>
  <c r="AO152" i="6"/>
  <c r="AP152" i="6"/>
  <c r="AN152" i="6"/>
  <c r="AV143" i="6"/>
  <c r="AX143" i="6" s="1"/>
  <c r="AX144" i="6" s="1"/>
  <c r="AX145" i="6" s="1"/>
  <c r="AX146" i="6" s="1"/>
  <c r="AV141" i="6"/>
  <c r="E160" i="6"/>
  <c r="AS142" i="6"/>
  <c r="AS147" i="6"/>
  <c r="AT147" i="6" s="1"/>
  <c r="AM142" i="6"/>
  <c r="I160" i="6"/>
  <c r="I162" i="6"/>
  <c r="I171" i="6"/>
  <c r="H160" i="6" l="1"/>
  <c r="AT142" i="6"/>
  <c r="AT155" i="6" s="1"/>
  <c r="AY155" i="6" s="1"/>
  <c r="J23" i="14" s="1"/>
  <c r="H162" i="6"/>
  <c r="H161" i="6" s="1"/>
  <c r="G160" i="6"/>
  <c r="AT146" i="6"/>
  <c r="AW152" i="6"/>
  <c r="AV152" i="6"/>
  <c r="F160" i="6"/>
  <c r="J160" i="6" s="1"/>
  <c r="AX141" i="6"/>
  <c r="AY141" i="6" s="1"/>
  <c r="J9" i="14" s="1"/>
  <c r="E162" i="6"/>
  <c r="E161" i="6" s="1"/>
  <c r="D162" i="6"/>
  <c r="J173" i="6"/>
  <c r="AA159" i="6"/>
  <c r="W159" i="6"/>
  <c r="Z159" i="6"/>
  <c r="V159" i="6"/>
  <c r="Y159" i="6"/>
  <c r="U159" i="6"/>
  <c r="X159" i="6"/>
  <c r="W173" i="6"/>
  <c r="Y173" i="6"/>
  <c r="U173" i="6"/>
  <c r="V173" i="6"/>
  <c r="X173" i="6"/>
  <c r="S173" i="6"/>
  <c r="AY147" i="6"/>
  <c r="J15" i="14" s="1"/>
  <c r="AT152" i="6"/>
  <c r="D161" i="6"/>
  <c r="AV142" i="6"/>
  <c r="AX142" i="6" s="1"/>
  <c r="AX155" i="6" s="1"/>
  <c r="AY143" i="6"/>
  <c r="J11" i="14" s="1"/>
  <c r="F161" i="6"/>
  <c r="L162" i="6"/>
  <c r="L160" i="6"/>
  <c r="O160" i="6"/>
  <c r="O162" i="6"/>
  <c r="O161" i="6" s="1"/>
  <c r="N160" i="6"/>
  <c r="N162" i="6"/>
  <c r="N161" i="6" s="1"/>
  <c r="R171" i="6"/>
  <c r="R160" i="6"/>
  <c r="R162" i="6"/>
  <c r="I161" i="6"/>
  <c r="I166" i="6"/>
  <c r="J166" i="6" s="1"/>
  <c r="P160" i="6"/>
  <c r="P162" i="6"/>
  <c r="P161" i="6" s="1"/>
  <c r="Q171" i="6"/>
  <c r="Q160" i="6"/>
  <c r="Q162" i="6"/>
  <c r="Q161" i="6" s="1"/>
  <c r="G161" i="6"/>
  <c r="M160" i="6"/>
  <c r="M162" i="6"/>
  <c r="M161" i="6" s="1"/>
  <c r="D171" i="6" l="1"/>
  <c r="J162" i="6"/>
  <c r="J163" i="6" s="1"/>
  <c r="J164" i="6" s="1"/>
  <c r="J165" i="6" s="1"/>
  <c r="S160" i="6"/>
  <c r="S162" i="6"/>
  <c r="J161" i="6"/>
  <c r="J174" i="6" s="1"/>
  <c r="AX152" i="6"/>
  <c r="AY152" i="6" s="1"/>
  <c r="J20" i="14" s="1"/>
  <c r="E171" i="6"/>
  <c r="J171" i="6" s="1"/>
  <c r="L171" i="6"/>
  <c r="AG159" i="6"/>
  <c r="AJ159" i="6"/>
  <c r="AF159" i="6"/>
  <c r="AI159" i="6"/>
  <c r="AE159" i="6"/>
  <c r="AH159" i="6"/>
  <c r="AD159" i="6"/>
  <c r="AE173" i="6"/>
  <c r="AG173" i="6"/>
  <c r="AD173" i="6"/>
  <c r="AH173" i="6"/>
  <c r="AF173" i="6"/>
  <c r="AB173" i="6"/>
  <c r="AY142" i="6"/>
  <c r="J10" i="14" s="1"/>
  <c r="AY145" i="6"/>
  <c r="J13" i="14" s="1"/>
  <c r="N171" i="6"/>
  <c r="M171" i="6"/>
  <c r="P171" i="6"/>
  <c r="O171" i="6"/>
  <c r="AY144" i="6"/>
  <c r="J12" i="14" s="1"/>
  <c r="AY146" i="6"/>
  <c r="V160" i="6"/>
  <c r="V162" i="6"/>
  <c r="V161" i="6" s="1"/>
  <c r="Y160" i="6"/>
  <c r="Y162" i="6"/>
  <c r="Y161" i="6" s="1"/>
  <c r="L161" i="6"/>
  <c r="U162" i="6"/>
  <c r="U160" i="6"/>
  <c r="AA162" i="6"/>
  <c r="AA160" i="6"/>
  <c r="AA171" i="6"/>
  <c r="Z160" i="6"/>
  <c r="Z171" i="6"/>
  <c r="Z162" i="6"/>
  <c r="Z161" i="6" s="1"/>
  <c r="X160" i="6"/>
  <c r="X162" i="6"/>
  <c r="X161" i="6" s="1"/>
  <c r="W160" i="6"/>
  <c r="W162" i="6"/>
  <c r="W161" i="6" s="1"/>
  <c r="R161" i="6"/>
  <c r="R166" i="6"/>
  <c r="S166" i="6" s="1"/>
  <c r="AB162" i="6" l="1"/>
  <c r="AB163" i="6" s="1"/>
  <c r="AB164" i="6" s="1"/>
  <c r="S163" i="6"/>
  <c r="S164" i="6" s="1"/>
  <c r="S165" i="6" s="1"/>
  <c r="S161" i="6"/>
  <c r="S174" i="6" s="1"/>
  <c r="AB160" i="6"/>
  <c r="S171" i="6"/>
  <c r="AQ159" i="6"/>
  <c r="AM159" i="6"/>
  <c r="AP159" i="6"/>
  <c r="AS159" i="6"/>
  <c r="AO159" i="6"/>
  <c r="AR159" i="6"/>
  <c r="AN159" i="6"/>
  <c r="AQ173" i="6"/>
  <c r="AM173" i="6"/>
  <c r="AO173" i="6"/>
  <c r="AP173" i="6"/>
  <c r="AN173" i="6"/>
  <c r="AK173" i="6"/>
  <c r="J14" i="14"/>
  <c r="AZ138" i="6"/>
  <c r="J21" i="14" s="1"/>
  <c r="X171" i="6"/>
  <c r="V171" i="6"/>
  <c r="W171" i="6"/>
  <c r="AE160" i="6"/>
  <c r="AE162" i="6"/>
  <c r="AE161" i="6" s="1"/>
  <c r="AI160" i="6"/>
  <c r="AI171" i="6"/>
  <c r="AI162" i="6"/>
  <c r="AI161" i="6" s="1"/>
  <c r="U161" i="6"/>
  <c r="AA161" i="6"/>
  <c r="AA166" i="6"/>
  <c r="AB166" i="6" s="1"/>
  <c r="AJ160" i="6"/>
  <c r="AJ171" i="6"/>
  <c r="AJ162" i="6"/>
  <c r="AG160" i="6"/>
  <c r="AG162" i="6"/>
  <c r="AG161" i="6" s="1"/>
  <c r="U171" i="6"/>
  <c r="AD160" i="6"/>
  <c r="AD162" i="6"/>
  <c r="AH160" i="6"/>
  <c r="AH162" i="6"/>
  <c r="AH161" i="6" s="1"/>
  <c r="Y171" i="6"/>
  <c r="AF160" i="6"/>
  <c r="AF162" i="6"/>
  <c r="AF161" i="6" s="1"/>
  <c r="AB161" i="6" l="1"/>
  <c r="AB174" i="6" s="1"/>
  <c r="AK162" i="6"/>
  <c r="AK160" i="6"/>
  <c r="AB165" i="6"/>
  <c r="AV173" i="6"/>
  <c r="AX173" i="6" s="1"/>
  <c r="AV159" i="6"/>
  <c r="AV162" i="6" s="1"/>
  <c r="AX162" i="6" s="1"/>
  <c r="AB171" i="6"/>
  <c r="F178" i="6"/>
  <c r="I178" i="6"/>
  <c r="E178" i="6"/>
  <c r="H178" i="6"/>
  <c r="D178" i="6"/>
  <c r="G178" i="6"/>
  <c r="C178" i="6"/>
  <c r="D192" i="6"/>
  <c r="F192" i="6"/>
  <c r="E192" i="6"/>
  <c r="G192" i="6"/>
  <c r="C192" i="6"/>
  <c r="AD171" i="6"/>
  <c r="AT173" i="6"/>
  <c r="AS162" i="6"/>
  <c r="AS171" i="6"/>
  <c r="AS160" i="6"/>
  <c r="AH171" i="6"/>
  <c r="AF171" i="6"/>
  <c r="AG171" i="6"/>
  <c r="AE171" i="6"/>
  <c r="AN160" i="6"/>
  <c r="AN162" i="6"/>
  <c r="AN161" i="6" s="1"/>
  <c r="AJ161" i="6"/>
  <c r="AJ166" i="6"/>
  <c r="AK166" i="6" s="1"/>
  <c r="AQ160" i="6"/>
  <c r="AQ162" i="6"/>
  <c r="AQ161" i="6" s="1"/>
  <c r="AM162" i="6"/>
  <c r="AM160" i="6"/>
  <c r="AO160" i="6"/>
  <c r="AO162" i="6"/>
  <c r="AO161" i="6" s="1"/>
  <c r="AP160" i="6"/>
  <c r="AP162" i="6"/>
  <c r="AP161" i="6" s="1"/>
  <c r="AR162" i="6"/>
  <c r="AR161" i="6" s="1"/>
  <c r="AR171" i="6"/>
  <c r="AR160" i="6"/>
  <c r="AD161" i="6"/>
  <c r="AK161" i="6" s="1"/>
  <c r="AK174" i="6" s="1"/>
  <c r="AT160" i="6" l="1"/>
  <c r="AT162" i="6"/>
  <c r="AK163" i="6"/>
  <c r="AK164" i="6"/>
  <c r="AK165" i="6" s="1"/>
  <c r="AV160" i="6"/>
  <c r="AX160" i="6" s="1"/>
  <c r="AV171" i="6"/>
  <c r="AX171" i="6" s="1"/>
  <c r="AX163" i="6"/>
  <c r="AX164" i="6" s="1"/>
  <c r="AX165" i="6" s="1"/>
  <c r="AK171" i="6"/>
  <c r="P178" i="6"/>
  <c r="L178" i="6"/>
  <c r="O178" i="6"/>
  <c r="R178" i="6"/>
  <c r="N178" i="6"/>
  <c r="Q178" i="6"/>
  <c r="M178" i="6"/>
  <c r="P192" i="6"/>
  <c r="L192" i="6"/>
  <c r="N192" i="6"/>
  <c r="O192" i="6"/>
  <c r="M192" i="6"/>
  <c r="J192" i="6"/>
  <c r="AM171" i="6"/>
  <c r="AV161" i="6"/>
  <c r="AX161" i="6" s="1"/>
  <c r="AX174" i="6" s="1"/>
  <c r="D179" i="6"/>
  <c r="D181" i="6"/>
  <c r="D180" i="6" s="1"/>
  <c r="E181" i="6"/>
  <c r="E179" i="6"/>
  <c r="C181" i="6"/>
  <c r="C179" i="6"/>
  <c r="AS166" i="6"/>
  <c r="AT166" i="6" s="1"/>
  <c r="AS161" i="6"/>
  <c r="AQ171" i="6"/>
  <c r="AP171" i="6"/>
  <c r="AO171" i="6"/>
  <c r="AN171" i="6"/>
  <c r="F181" i="6"/>
  <c r="F190" i="6" s="1"/>
  <c r="F179" i="6"/>
  <c r="G181" i="6"/>
  <c r="G180" i="6" s="1"/>
  <c r="G179" i="6"/>
  <c r="H181" i="6"/>
  <c r="H179" i="6"/>
  <c r="H190" i="6"/>
  <c r="AM161" i="6"/>
  <c r="AT161" i="6" s="1"/>
  <c r="AT174" i="6" s="1"/>
  <c r="AY174" i="6" s="1"/>
  <c r="K23" i="14" s="1"/>
  <c r="I179" i="6"/>
  <c r="I190" i="6"/>
  <c r="I181" i="6"/>
  <c r="AY160" i="6" l="1"/>
  <c r="K9" i="14" s="1"/>
  <c r="AT163" i="6"/>
  <c r="AT164" i="6" s="1"/>
  <c r="AT165" i="6" s="1"/>
  <c r="AY165" i="6" s="1"/>
  <c r="K14" i="14" s="1"/>
  <c r="J179" i="6"/>
  <c r="J181" i="6"/>
  <c r="J182" i="6" s="1"/>
  <c r="J183" i="6" s="1"/>
  <c r="AY166" i="6"/>
  <c r="K15" i="14" s="1"/>
  <c r="AT171" i="6"/>
  <c r="Z178" i="6"/>
  <c r="V178" i="6"/>
  <c r="Y178" i="6"/>
  <c r="U178" i="6"/>
  <c r="X178" i="6"/>
  <c r="AA178" i="6"/>
  <c r="W178" i="6"/>
  <c r="X192" i="6"/>
  <c r="V192" i="6"/>
  <c r="U192" i="6"/>
  <c r="W192" i="6"/>
  <c r="Y192" i="6"/>
  <c r="S192" i="6"/>
  <c r="AY162" i="6"/>
  <c r="K11" i="14" s="1"/>
  <c r="G190" i="6"/>
  <c r="D190" i="6"/>
  <c r="AY161" i="6"/>
  <c r="K10" i="14" s="1"/>
  <c r="C190" i="6"/>
  <c r="C180" i="6"/>
  <c r="AY171" i="6"/>
  <c r="K20" i="14" s="1"/>
  <c r="E190" i="6"/>
  <c r="E180" i="6"/>
  <c r="F180" i="6"/>
  <c r="H180" i="6"/>
  <c r="Q179" i="6"/>
  <c r="Q190" i="6"/>
  <c r="Q181" i="6"/>
  <c r="Q180" i="6" s="1"/>
  <c r="N179" i="6"/>
  <c r="N181" i="6"/>
  <c r="N180" i="6" s="1"/>
  <c r="P179" i="6"/>
  <c r="P181" i="6"/>
  <c r="P180" i="6" s="1"/>
  <c r="R179" i="6"/>
  <c r="R190" i="6"/>
  <c r="R181" i="6"/>
  <c r="M179" i="6"/>
  <c r="M181" i="6"/>
  <c r="M180" i="6" s="1"/>
  <c r="L179" i="6"/>
  <c r="L181" i="6"/>
  <c r="O179" i="6"/>
  <c r="O181" i="6"/>
  <c r="O180" i="6" s="1"/>
  <c r="I180" i="6"/>
  <c r="I185" i="6"/>
  <c r="J185" i="6" s="1"/>
  <c r="S179" i="6" l="1"/>
  <c r="J184" i="6"/>
  <c r="S181" i="6"/>
  <c r="J180" i="6"/>
  <c r="J193" i="6" s="1"/>
  <c r="AB192" i="6"/>
  <c r="AJ178" i="6"/>
  <c r="AF178" i="6"/>
  <c r="AI178" i="6"/>
  <c r="AE178" i="6"/>
  <c r="AH178" i="6"/>
  <c r="AD178" i="6"/>
  <c r="AG178" i="6"/>
  <c r="AF192" i="6"/>
  <c r="AH192" i="6"/>
  <c r="AD192" i="6"/>
  <c r="AG192" i="6"/>
  <c r="AE192" i="6"/>
  <c r="J190" i="6"/>
  <c r="P190" i="6"/>
  <c r="M190" i="6"/>
  <c r="O190" i="6"/>
  <c r="AY164" i="6"/>
  <c r="Z190" i="6"/>
  <c r="Z179" i="6"/>
  <c r="Z181" i="6"/>
  <c r="Z180" i="6" s="1"/>
  <c r="U179" i="6"/>
  <c r="U181" i="6"/>
  <c r="AY163" i="6"/>
  <c r="K12" i="14" s="1"/>
  <c r="AS178" i="6"/>
  <c r="W179" i="6"/>
  <c r="W181" i="6"/>
  <c r="W180" i="6" s="1"/>
  <c r="V179" i="6"/>
  <c r="V181" i="6"/>
  <c r="V180" i="6" s="1"/>
  <c r="Y179" i="6"/>
  <c r="Y181" i="6"/>
  <c r="Y180" i="6" s="1"/>
  <c r="R180" i="6"/>
  <c r="R185" i="6"/>
  <c r="S185" i="6" s="1"/>
  <c r="L180" i="6"/>
  <c r="L190" i="6"/>
  <c r="AA179" i="6"/>
  <c r="AA190" i="6"/>
  <c r="AA181" i="6"/>
  <c r="X179" i="6"/>
  <c r="X181" i="6"/>
  <c r="X180" i="6" s="1"/>
  <c r="N190" i="6"/>
  <c r="S190" i="6" l="1"/>
  <c r="AB181" i="6"/>
  <c r="AB182" i="6" s="1"/>
  <c r="AB183" i="6" s="1"/>
  <c r="S180" i="6"/>
  <c r="S193" i="6" s="1"/>
  <c r="AB179" i="6"/>
  <c r="S182" i="6"/>
  <c r="S183" i="6" s="1"/>
  <c r="S184" i="6" s="1"/>
  <c r="U190" i="6"/>
  <c r="AR178" i="6"/>
  <c r="AQ192" i="6"/>
  <c r="AQ178" i="6"/>
  <c r="AP192" i="6"/>
  <c r="AP178" i="6"/>
  <c r="AO178" i="6"/>
  <c r="AN178" i="6"/>
  <c r="AM178" i="6"/>
  <c r="AN192" i="6"/>
  <c r="AO192" i="6"/>
  <c r="AM192" i="6"/>
  <c r="AK192" i="6"/>
  <c r="V190" i="6"/>
  <c r="X190" i="6"/>
  <c r="Y190" i="6"/>
  <c r="W190" i="6"/>
  <c r="K13" i="14"/>
  <c r="AZ157" i="6"/>
  <c r="AF179" i="6"/>
  <c r="AF181" i="6"/>
  <c r="AF180" i="6" s="1"/>
  <c r="AD181" i="6"/>
  <c r="AD179" i="6"/>
  <c r="AH179" i="6"/>
  <c r="AH181" i="6"/>
  <c r="AH180" i="6" s="1"/>
  <c r="AA180" i="6"/>
  <c r="AA185" i="6"/>
  <c r="AB185" i="6" s="1"/>
  <c r="AG179" i="6"/>
  <c r="AG181" i="6"/>
  <c r="AG180" i="6" s="1"/>
  <c r="AE179" i="6"/>
  <c r="AE181" i="6"/>
  <c r="AE180" i="6" s="1"/>
  <c r="U180" i="6"/>
  <c r="AI179" i="6"/>
  <c r="AI190" i="6"/>
  <c r="AI181" i="6"/>
  <c r="AI180" i="6" s="1"/>
  <c r="AJ181" i="6"/>
  <c r="AJ190" i="6"/>
  <c r="AJ179" i="6"/>
  <c r="AB180" i="6" l="1"/>
  <c r="AB193" i="6" s="1"/>
  <c r="AK179" i="6"/>
  <c r="AK181" i="6"/>
  <c r="AK182" i="6" s="1"/>
  <c r="AK183" i="6" s="1"/>
  <c r="AB184" i="6"/>
  <c r="AV192" i="6"/>
  <c r="AX192" i="6" s="1"/>
  <c r="AV178" i="6"/>
  <c r="AB190" i="6"/>
  <c r="AT192" i="6"/>
  <c r="AD190" i="6"/>
  <c r="AG190" i="6"/>
  <c r="AH190" i="6"/>
  <c r="AE190" i="6"/>
  <c r="AF190" i="6"/>
  <c r="AS190" i="6"/>
  <c r="AS179" i="6"/>
  <c r="AS181" i="6"/>
  <c r="AN179" i="6"/>
  <c r="AN181" i="6"/>
  <c r="AN180" i="6" s="1"/>
  <c r="AD180" i="6"/>
  <c r="AO179" i="6"/>
  <c r="AO181" i="6"/>
  <c r="AO180" i="6" s="1"/>
  <c r="AM179" i="6"/>
  <c r="AM181" i="6"/>
  <c r="AP179" i="6"/>
  <c r="AP181" i="6"/>
  <c r="AP180" i="6" s="1"/>
  <c r="AQ179" i="6"/>
  <c r="AQ181" i="6"/>
  <c r="AQ180" i="6" s="1"/>
  <c r="K21" i="14"/>
  <c r="AJ185" i="6"/>
  <c r="AK185" i="6" s="1"/>
  <c r="AJ180" i="6"/>
  <c r="AR179" i="6"/>
  <c r="AR190" i="6"/>
  <c r="AR181" i="6"/>
  <c r="AR180" i="6" s="1"/>
  <c r="AK180" i="6" l="1"/>
  <c r="AK193" i="6" s="1"/>
  <c r="AT181" i="6"/>
  <c r="AK184" i="6"/>
  <c r="AT179" i="6"/>
  <c r="C197" i="6"/>
  <c r="D197" i="6"/>
  <c r="E197" i="6"/>
  <c r="C211" i="6"/>
  <c r="D211" i="6"/>
  <c r="E211" i="6"/>
  <c r="AK190" i="6"/>
  <c r="AM190" i="6"/>
  <c r="I197" i="6"/>
  <c r="H197" i="6"/>
  <c r="G197" i="6"/>
  <c r="F197" i="6"/>
  <c r="G211" i="6"/>
  <c r="F211" i="6"/>
  <c r="AP190" i="6"/>
  <c r="AO190" i="6"/>
  <c r="AN190" i="6"/>
  <c r="AQ190" i="6"/>
  <c r="AW179" i="6"/>
  <c r="AW181" i="6"/>
  <c r="AW180" i="6" s="1"/>
  <c r="AM180" i="6"/>
  <c r="AV181" i="6"/>
  <c r="AV179" i="6"/>
  <c r="AS180" i="6"/>
  <c r="AS185" i="6"/>
  <c r="AT185" i="6" s="1"/>
  <c r="AT180" i="6" l="1"/>
  <c r="AT193" i="6" s="1"/>
  <c r="AY193" i="6" s="1"/>
  <c r="L23" i="14" s="1"/>
  <c r="AX181" i="6"/>
  <c r="AT182" i="6"/>
  <c r="AT183" i="6" s="1"/>
  <c r="AT184" i="6" s="1"/>
  <c r="J211" i="6"/>
  <c r="C198" i="6"/>
  <c r="C200" i="6"/>
  <c r="C209" i="6"/>
  <c r="AT190" i="6"/>
  <c r="O197" i="6"/>
  <c r="R197" i="6"/>
  <c r="N197" i="6"/>
  <c r="Q197" i="6"/>
  <c r="M197" i="6"/>
  <c r="P197" i="6"/>
  <c r="L197" i="6"/>
  <c r="M211" i="6"/>
  <c r="O211" i="6"/>
  <c r="N211" i="6"/>
  <c r="L211" i="6"/>
  <c r="P211" i="6"/>
  <c r="AY185" i="6"/>
  <c r="L15" i="14" s="1"/>
  <c r="AX179" i="6"/>
  <c r="AY179" i="6" s="1"/>
  <c r="L9" i="14" s="1"/>
  <c r="AX182" i="6"/>
  <c r="AX183" i="6" s="1"/>
  <c r="AX184" i="6" s="1"/>
  <c r="D198" i="6"/>
  <c r="D200" i="6"/>
  <c r="D209" i="6" s="1"/>
  <c r="F198" i="6"/>
  <c r="F200" i="6"/>
  <c r="F199" i="6" s="1"/>
  <c r="I198" i="6"/>
  <c r="I209" i="6"/>
  <c r="I200" i="6"/>
  <c r="AY181" i="6"/>
  <c r="L11" i="14" s="1"/>
  <c r="AV180" i="6"/>
  <c r="AX180" i="6" s="1"/>
  <c r="AX193" i="6" s="1"/>
  <c r="H198" i="6"/>
  <c r="H209" i="6"/>
  <c r="H200" i="6"/>
  <c r="H199" i="6" s="1"/>
  <c r="AV190" i="6"/>
  <c r="AW190" i="6"/>
  <c r="E198" i="6"/>
  <c r="E200" i="6"/>
  <c r="E209" i="6" s="1"/>
  <c r="G198" i="6"/>
  <c r="G200" i="6"/>
  <c r="G199" i="6" s="1"/>
  <c r="J200" i="6" l="1"/>
  <c r="J201" i="6" s="1"/>
  <c r="J202" i="6" s="1"/>
  <c r="J198" i="6"/>
  <c r="C199" i="6"/>
  <c r="AX190" i="6"/>
  <c r="AY190" i="6" s="1"/>
  <c r="L20" i="14" s="1"/>
  <c r="S211" i="6"/>
  <c r="Y197" i="6"/>
  <c r="U197" i="6"/>
  <c r="X197" i="6"/>
  <c r="AA197" i="6"/>
  <c r="W197" i="6"/>
  <c r="Z197" i="6"/>
  <c r="V197" i="6"/>
  <c r="Y211" i="6"/>
  <c r="U211" i="6"/>
  <c r="W211" i="6"/>
  <c r="V211" i="6"/>
  <c r="X211" i="6"/>
  <c r="AY180" i="6"/>
  <c r="L10" i="14" s="1"/>
  <c r="AY182" i="6"/>
  <c r="L12" i="14" s="1"/>
  <c r="F209" i="6"/>
  <c r="AY183" i="6"/>
  <c r="L13" i="14" s="1"/>
  <c r="D199" i="6"/>
  <c r="M198" i="6"/>
  <c r="M200" i="6"/>
  <c r="M199" i="6" s="1"/>
  <c r="N198" i="6"/>
  <c r="N200" i="6"/>
  <c r="N199" i="6" s="1"/>
  <c r="L198" i="6"/>
  <c r="L200" i="6"/>
  <c r="P198" i="6"/>
  <c r="P200" i="6"/>
  <c r="P199" i="6" s="1"/>
  <c r="I204" i="6"/>
  <c r="J204" i="6" s="1"/>
  <c r="I199" i="6"/>
  <c r="G209" i="6"/>
  <c r="R198" i="6"/>
  <c r="R209" i="6"/>
  <c r="R200" i="6"/>
  <c r="AY184" i="6"/>
  <c r="L14" i="14" s="1"/>
  <c r="E199" i="6"/>
  <c r="Q209" i="6"/>
  <c r="Q198" i="6"/>
  <c r="Q200" i="6"/>
  <c r="Q199" i="6" s="1"/>
  <c r="O200" i="6"/>
  <c r="O199" i="6" s="1"/>
  <c r="O198" i="6"/>
  <c r="S198" i="6" l="1"/>
  <c r="J199" i="6"/>
  <c r="J212" i="6" s="1"/>
  <c r="S200" i="6"/>
  <c r="S201" i="6" s="1"/>
  <c r="S202" i="6" s="1"/>
  <c r="J203" i="6"/>
  <c r="J209" i="6"/>
  <c r="AB211" i="6"/>
  <c r="AI197" i="6"/>
  <c r="AE197" i="6"/>
  <c r="AH197" i="6"/>
  <c r="AD197" i="6"/>
  <c r="AG197" i="6"/>
  <c r="AJ197" i="6"/>
  <c r="AF197" i="6"/>
  <c r="AG211" i="6"/>
  <c r="AF211" i="6"/>
  <c r="AE211" i="6"/>
  <c r="AD211" i="6"/>
  <c r="AH211" i="6"/>
  <c r="L209" i="6"/>
  <c r="M209" i="6"/>
  <c r="O209" i="6"/>
  <c r="P209" i="6"/>
  <c r="N209" i="6"/>
  <c r="AA198" i="6"/>
  <c r="AA209" i="6"/>
  <c r="AA200" i="6"/>
  <c r="Y198" i="6"/>
  <c r="Y200" i="6"/>
  <c r="Y199" i="6" s="1"/>
  <c r="L199" i="6"/>
  <c r="U198" i="6"/>
  <c r="U200" i="6"/>
  <c r="W198" i="6"/>
  <c r="W200" i="6"/>
  <c r="W199" i="6" s="1"/>
  <c r="R199" i="6"/>
  <c r="R204" i="6"/>
  <c r="S204" i="6" s="1"/>
  <c r="X198" i="6"/>
  <c r="X200" i="6"/>
  <c r="X199" i="6" s="1"/>
  <c r="AZ176" i="6"/>
  <c r="V198" i="6"/>
  <c r="V200" i="6"/>
  <c r="V199" i="6" s="1"/>
  <c r="Z200" i="6"/>
  <c r="Z199" i="6" s="1"/>
  <c r="Z209" i="6"/>
  <c r="Z198" i="6"/>
  <c r="AB200" i="6" l="1"/>
  <c r="S203" i="6"/>
  <c r="AB198" i="6"/>
  <c r="S199" i="6"/>
  <c r="S212" i="6" s="1"/>
  <c r="AR197" i="6"/>
  <c r="AS197" i="6"/>
  <c r="AO197" i="6"/>
  <c r="AN197" i="6"/>
  <c r="AQ197" i="6"/>
  <c r="AM197" i="6"/>
  <c r="AP197" i="6"/>
  <c r="AO211" i="6"/>
  <c r="AN211" i="6"/>
  <c r="AQ211" i="6"/>
  <c r="AM211" i="6"/>
  <c r="AP211" i="6"/>
  <c r="U209" i="6"/>
  <c r="AK211" i="6"/>
  <c r="S209" i="6"/>
  <c r="W209" i="6"/>
  <c r="X209" i="6"/>
  <c r="V209" i="6"/>
  <c r="Y209" i="6"/>
  <c r="AD198" i="6"/>
  <c r="AD200" i="6"/>
  <c r="L21" i="14"/>
  <c r="AJ198" i="6"/>
  <c r="AJ209" i="6"/>
  <c r="AJ200" i="6"/>
  <c r="AA204" i="6"/>
  <c r="AB204" i="6" s="1"/>
  <c r="AA199" i="6"/>
  <c r="AI209" i="6"/>
  <c r="AI198" i="6"/>
  <c r="AI200" i="6"/>
  <c r="AI199" i="6" s="1"/>
  <c r="AG198" i="6"/>
  <c r="AG200" i="6"/>
  <c r="AG199" i="6" s="1"/>
  <c r="AE200" i="6"/>
  <c r="AE199" i="6" s="1"/>
  <c r="AE198" i="6"/>
  <c r="AH198" i="6"/>
  <c r="AH200" i="6"/>
  <c r="AH199" i="6" s="1"/>
  <c r="AF200" i="6"/>
  <c r="AF199" i="6" s="1"/>
  <c r="AF198" i="6"/>
  <c r="U199" i="6"/>
  <c r="AB199" i="6" l="1"/>
  <c r="AB212" i="6" s="1"/>
  <c r="AK198" i="6"/>
  <c r="AK200" i="6"/>
  <c r="AK201" i="6" s="1"/>
  <c r="AK202" i="6" s="1"/>
  <c r="AB201" i="6"/>
  <c r="AB202" i="6" s="1"/>
  <c r="AB203" i="6" s="1"/>
  <c r="I216" i="6"/>
  <c r="AV211" i="6"/>
  <c r="AX211" i="6" s="1"/>
  <c r="AV197" i="6"/>
  <c r="AT211" i="6"/>
  <c r="AD209" i="6"/>
  <c r="AB209" i="6"/>
  <c r="AF209" i="6"/>
  <c r="AG209" i="6"/>
  <c r="AE209" i="6"/>
  <c r="AH209" i="6"/>
  <c r="AQ198" i="6"/>
  <c r="AQ200" i="6"/>
  <c r="AQ199" i="6" s="1"/>
  <c r="AR200" i="6"/>
  <c r="AR199" i="6" s="1"/>
  <c r="AR209" i="6"/>
  <c r="AR198" i="6"/>
  <c r="AS200" i="6"/>
  <c r="AS209" i="6"/>
  <c r="AS198" i="6"/>
  <c r="AJ199" i="6"/>
  <c r="AJ204" i="6"/>
  <c r="AK204" i="6" s="1"/>
  <c r="AN198" i="6"/>
  <c r="AN200" i="6"/>
  <c r="AN199" i="6" s="1"/>
  <c r="AM200" i="6"/>
  <c r="AM198" i="6"/>
  <c r="AO198" i="6"/>
  <c r="AO200" i="6"/>
  <c r="AO199" i="6" s="1"/>
  <c r="AP200" i="6"/>
  <c r="AP199" i="6" s="1"/>
  <c r="AP198" i="6"/>
  <c r="AD199" i="6"/>
  <c r="AK199" i="6" l="1"/>
  <c r="AK212" i="6" s="1"/>
  <c r="AT198" i="6"/>
  <c r="AT200" i="6"/>
  <c r="AK203" i="6"/>
  <c r="H216" i="6"/>
  <c r="H219" i="6" s="1"/>
  <c r="H218" i="6" s="1"/>
  <c r="D230" i="6"/>
  <c r="F216" i="6"/>
  <c r="F219" i="6" s="1"/>
  <c r="E216" i="6"/>
  <c r="E228" i="6" s="1"/>
  <c r="G216" i="6"/>
  <c r="G217" i="6" s="1"/>
  <c r="F230" i="6"/>
  <c r="E230" i="6"/>
  <c r="G230" i="6"/>
  <c r="D216" i="6"/>
  <c r="D228" i="6" s="1"/>
  <c r="R216" i="6"/>
  <c r="N216" i="6"/>
  <c r="Q216" i="6"/>
  <c r="M216" i="6"/>
  <c r="P216" i="6"/>
  <c r="L216" i="6"/>
  <c r="O216" i="6"/>
  <c r="N230" i="6"/>
  <c r="M230" i="6"/>
  <c r="P230" i="6"/>
  <c r="L230" i="6"/>
  <c r="O230" i="6"/>
  <c r="AK209" i="6"/>
  <c r="AV209" i="6"/>
  <c r="AX209" i="6" s="1"/>
  <c r="AV198" i="6"/>
  <c r="AX198" i="6" s="1"/>
  <c r="AV200" i="6"/>
  <c r="AX200" i="6" s="1"/>
  <c r="AX201" i="6" s="1"/>
  <c r="AX202" i="6" s="1"/>
  <c r="AX203" i="6" s="1"/>
  <c r="AS204" i="6"/>
  <c r="AT204" i="6" s="1"/>
  <c r="AS199" i="6"/>
  <c r="AQ209" i="6"/>
  <c r="AN209" i="6"/>
  <c r="AP209" i="6"/>
  <c r="AO209" i="6"/>
  <c r="I217" i="6"/>
  <c r="I228" i="6"/>
  <c r="I219" i="6"/>
  <c r="AM199" i="6"/>
  <c r="AM209" i="6"/>
  <c r="D219" i="6" l="1"/>
  <c r="H217" i="6"/>
  <c r="E219" i="6"/>
  <c r="E218" i="6" s="1"/>
  <c r="H228" i="6"/>
  <c r="D217" i="6"/>
  <c r="AT201" i="6"/>
  <c r="AT202" i="6" s="1"/>
  <c r="AT203" i="6" s="1"/>
  <c r="AT199" i="6"/>
  <c r="AT212" i="6" s="1"/>
  <c r="AY212" i="6" s="1"/>
  <c r="M23" i="14" s="1"/>
  <c r="G228" i="6"/>
  <c r="G219" i="6"/>
  <c r="F217" i="6"/>
  <c r="F228" i="6"/>
  <c r="E217" i="6"/>
  <c r="J230" i="6"/>
  <c r="X216" i="6"/>
  <c r="AA216" i="6"/>
  <c r="W216" i="6"/>
  <c r="Z216" i="6"/>
  <c r="V216" i="6"/>
  <c r="Y216" i="6"/>
  <c r="U216" i="6"/>
  <c r="V230" i="6"/>
  <c r="Y230" i="6"/>
  <c r="U230" i="6"/>
  <c r="X230" i="6"/>
  <c r="W230" i="6"/>
  <c r="AT209" i="6"/>
  <c r="AY209" i="6" s="1"/>
  <c r="M20" i="14" s="1"/>
  <c r="AY204" i="6"/>
  <c r="M15" i="14" s="1"/>
  <c r="S230" i="6"/>
  <c r="AY198" i="6"/>
  <c r="M9" i="14" s="1"/>
  <c r="AV199" i="6"/>
  <c r="AX199" i="6" s="1"/>
  <c r="AX212" i="6" s="1"/>
  <c r="AY200" i="6"/>
  <c r="M11" i="14" s="1"/>
  <c r="D218" i="6"/>
  <c r="F218" i="6"/>
  <c r="Q217" i="6"/>
  <c r="Q228" i="6"/>
  <c r="Q219" i="6"/>
  <c r="Q218" i="6" s="1"/>
  <c r="L217" i="6"/>
  <c r="L219" i="6"/>
  <c r="R228" i="6"/>
  <c r="R217" i="6"/>
  <c r="R219" i="6"/>
  <c r="I218" i="6"/>
  <c r="I223" i="6"/>
  <c r="J223" i="6" s="1"/>
  <c r="O217" i="6"/>
  <c r="O219" i="6"/>
  <c r="O218" i="6" s="1"/>
  <c r="M217" i="6"/>
  <c r="M219" i="6"/>
  <c r="M218" i="6" s="1"/>
  <c r="N217" i="6"/>
  <c r="N219" i="6"/>
  <c r="N218" i="6" s="1"/>
  <c r="P217" i="6"/>
  <c r="P219" i="6"/>
  <c r="P218" i="6" s="1"/>
  <c r="J219" i="6" l="1"/>
  <c r="G218" i="6"/>
  <c r="J217" i="6"/>
  <c r="J220" i="6"/>
  <c r="J221" i="6" s="1"/>
  <c r="J222" i="6" s="1"/>
  <c r="S217" i="6"/>
  <c r="S219" i="6"/>
  <c r="S220" i="6" s="1"/>
  <c r="S221" i="6" s="1"/>
  <c r="J218" i="6"/>
  <c r="J231" i="6" s="1"/>
  <c r="J228" i="6"/>
  <c r="AB230" i="6"/>
  <c r="AH216" i="6"/>
  <c r="AD216" i="6"/>
  <c r="AG216" i="6"/>
  <c r="AJ216" i="6"/>
  <c r="AF216" i="6"/>
  <c r="AI216" i="6"/>
  <c r="AE216" i="6"/>
  <c r="AH230" i="6"/>
  <c r="AD230" i="6"/>
  <c r="AG230" i="6"/>
  <c r="AF230" i="6"/>
  <c r="AE230" i="6"/>
  <c r="L228" i="6"/>
  <c r="AY199" i="6"/>
  <c r="M10" i="14" s="1"/>
  <c r="AY203" i="6"/>
  <c r="M14" i="14" s="1"/>
  <c r="N228" i="6"/>
  <c r="M228" i="6"/>
  <c r="P228" i="6"/>
  <c r="O228" i="6"/>
  <c r="AY202" i="6"/>
  <c r="M13" i="14" s="1"/>
  <c r="V217" i="6"/>
  <c r="V219" i="6"/>
  <c r="V218" i="6" s="1"/>
  <c r="Z217" i="6"/>
  <c r="Z219" i="6"/>
  <c r="Z218" i="6" s="1"/>
  <c r="Z228" i="6"/>
  <c r="X217" i="6"/>
  <c r="X219" i="6"/>
  <c r="X218" i="6" s="1"/>
  <c r="R223" i="6"/>
  <c r="S223" i="6" s="1"/>
  <c r="R218" i="6"/>
  <c r="U217" i="6"/>
  <c r="U219" i="6"/>
  <c r="AA217" i="6"/>
  <c r="AA228" i="6"/>
  <c r="AA219" i="6"/>
  <c r="L218" i="6"/>
  <c r="S218" i="6" s="1"/>
  <c r="S231" i="6" s="1"/>
  <c r="W217" i="6"/>
  <c r="W219" i="6"/>
  <c r="W218" i="6" s="1"/>
  <c r="Y217" i="6"/>
  <c r="Y219" i="6"/>
  <c r="Y218" i="6" s="1"/>
  <c r="AB219" i="6" l="1"/>
  <c r="AB220" i="6" s="1"/>
  <c r="AB221" i="6" s="1"/>
  <c r="AB217" i="6"/>
  <c r="S222" i="6"/>
  <c r="S228" i="6"/>
  <c r="AK230" i="6"/>
  <c r="AR216" i="6"/>
  <c r="AN216" i="6"/>
  <c r="AQ216" i="6"/>
  <c r="AM216" i="6"/>
  <c r="AP216" i="6"/>
  <c r="AS216" i="6"/>
  <c r="AO216" i="6"/>
  <c r="AP230" i="6"/>
  <c r="AO230" i="6"/>
  <c r="AN230" i="6"/>
  <c r="AM230" i="6"/>
  <c r="AQ230" i="6"/>
  <c r="U228" i="6"/>
  <c r="AY201" i="6"/>
  <c r="M12" i="14" s="1"/>
  <c r="AZ195" i="6"/>
  <c r="M21" i="14" s="1"/>
  <c r="Y228" i="6"/>
  <c r="V228" i="6"/>
  <c r="W228" i="6"/>
  <c r="X228" i="6"/>
  <c r="AI228" i="6"/>
  <c r="AI217" i="6"/>
  <c r="AI219" i="6"/>
  <c r="AI218" i="6" s="1"/>
  <c r="AE217" i="6"/>
  <c r="AE219" i="6"/>
  <c r="AE218" i="6" s="1"/>
  <c r="U218" i="6"/>
  <c r="AF217" i="6"/>
  <c r="AF219" i="6"/>
  <c r="AF218" i="6" s="1"/>
  <c r="AA218" i="6"/>
  <c r="AA223" i="6"/>
  <c r="AB223" i="6" s="1"/>
  <c r="AJ228" i="6"/>
  <c r="AJ217" i="6"/>
  <c r="AJ219" i="6"/>
  <c r="AG219" i="6"/>
  <c r="AG218" i="6" s="1"/>
  <c r="AG217" i="6"/>
  <c r="AD217" i="6"/>
  <c r="AK217" i="6" s="1"/>
  <c r="AD219" i="6"/>
  <c r="AH217" i="6"/>
  <c r="AH219" i="6"/>
  <c r="AH218" i="6" s="1"/>
  <c r="AB218" i="6" l="1"/>
  <c r="AB231" i="6" s="1"/>
  <c r="AK219" i="6"/>
  <c r="AK220" i="6" s="1"/>
  <c r="AK221" i="6" s="1"/>
  <c r="AB222" i="6"/>
  <c r="AW216" i="6"/>
  <c r="AW219" i="6" s="1"/>
  <c r="AW218" i="6" s="1"/>
  <c r="AW230" i="6"/>
  <c r="AB228" i="6"/>
  <c r="AV216" i="6"/>
  <c r="AV230" i="6"/>
  <c r="AX230" i="6" s="1"/>
  <c r="AT230" i="6"/>
  <c r="AH228" i="6"/>
  <c r="AE228" i="6"/>
  <c r="AP217" i="6"/>
  <c r="AP219" i="6"/>
  <c r="AP218" i="6" s="1"/>
  <c r="AS217" i="6"/>
  <c r="AS228" i="6"/>
  <c r="AS219" i="6"/>
  <c r="AO217" i="6"/>
  <c r="AO219" i="6"/>
  <c r="AO218" i="6" s="1"/>
  <c r="AD218" i="6"/>
  <c r="AD228" i="6"/>
  <c r="AJ218" i="6"/>
  <c r="AJ223" i="6"/>
  <c r="AK223" i="6" s="1"/>
  <c r="AN217" i="6"/>
  <c r="AN219" i="6"/>
  <c r="AN218" i="6" s="1"/>
  <c r="AR217" i="6"/>
  <c r="AR228" i="6"/>
  <c r="AR219" i="6"/>
  <c r="AR218" i="6" s="1"/>
  <c r="AG228" i="6"/>
  <c r="AM219" i="6"/>
  <c r="AM217" i="6"/>
  <c r="AQ217" i="6"/>
  <c r="AQ219" i="6"/>
  <c r="AQ218" i="6" s="1"/>
  <c r="AF228" i="6"/>
  <c r="AK218" i="6" l="1"/>
  <c r="AK231" i="6" s="1"/>
  <c r="AK222" i="6"/>
  <c r="AT217" i="6"/>
  <c r="AT219" i="6"/>
  <c r="AT220" i="6" s="1"/>
  <c r="AT221" i="6" s="1"/>
  <c r="AM228" i="6"/>
  <c r="AK228" i="6"/>
  <c r="AW228" i="6"/>
  <c r="AP228" i="6"/>
  <c r="AW217" i="6"/>
  <c r="AV217" i="6"/>
  <c r="AV219" i="6"/>
  <c r="AO228" i="6"/>
  <c r="AQ228" i="6"/>
  <c r="AN228" i="6"/>
  <c r="AS218" i="6"/>
  <c r="AS223" i="6"/>
  <c r="AT223" i="6" s="1"/>
  <c r="AM218" i="6"/>
  <c r="AT218" i="6" l="1"/>
  <c r="AT231" i="6" s="1"/>
  <c r="AY231" i="6" s="1"/>
  <c r="N23" i="14" s="1"/>
  <c r="AT222" i="6"/>
  <c r="AX217" i="6"/>
  <c r="AT228" i="6"/>
  <c r="AV228" i="6"/>
  <c r="AX228" i="6" s="1"/>
  <c r="AX219" i="6"/>
  <c r="AY219" i="6" s="1"/>
  <c r="N11" i="14" s="1"/>
  <c r="AY223" i="6"/>
  <c r="N15" i="14" s="1"/>
  <c r="AY217" i="6"/>
  <c r="N9" i="14" s="1"/>
  <c r="AV218" i="6"/>
  <c r="AX218" i="6" s="1"/>
  <c r="AX231" i="6" s="1"/>
  <c r="AY228" i="6" l="1"/>
  <c r="N20" i="14" s="1"/>
  <c r="AX220" i="6"/>
  <c r="AX221" i="6" s="1"/>
  <c r="AX222" i="6" s="1"/>
  <c r="AY222" i="6" s="1"/>
  <c r="N14" i="14" s="1"/>
  <c r="AY218" i="6"/>
  <c r="N10" i="14" s="1"/>
  <c r="AY220" i="6" l="1"/>
  <c r="N12" i="14" s="1"/>
  <c r="AY221" i="6"/>
  <c r="AZ214" i="6" s="1"/>
  <c r="N21" i="14" s="1"/>
  <c r="N13" i="14" l="1"/>
  <c r="R8" i="6"/>
  <c r="S8" i="6"/>
  <c r="R19" i="6"/>
  <c r="S19" i="6"/>
  <c r="R14" i="6"/>
  <c r="S14" i="6" s="1"/>
  <c r="R10" i="6"/>
  <c r="R9" i="6" s="1"/>
  <c r="S9" i="6" s="1"/>
  <c r="S22" i="6" l="1"/>
  <c r="S10" i="6"/>
  <c r="S11" i="6" l="1"/>
  <c r="S12" i="6"/>
  <c r="S13" i="6" s="1"/>
  <c r="AA8" i="6"/>
  <c r="AB8" i="6" s="1"/>
  <c r="AY8" i="6" s="1"/>
  <c r="C9" i="14" s="1"/>
  <c r="AA19" i="6"/>
  <c r="AB19" i="6"/>
  <c r="AY19" i="6" s="1"/>
  <c r="C20" i="14" s="1"/>
  <c r="B14" i="17" s="1"/>
  <c r="AA10" i="6"/>
  <c r="AA14" i="6" s="1"/>
  <c r="AB14" i="6" s="1"/>
  <c r="AY14" i="6" s="1"/>
  <c r="C15" i="14" s="1"/>
  <c r="AB10" i="6"/>
  <c r="P9" i="14" l="1"/>
  <c r="B3" i="17"/>
  <c r="P15" i="14"/>
  <c r="B9" i="17"/>
  <c r="D9" i="17" s="1"/>
  <c r="P20" i="14"/>
  <c r="C8" i="14"/>
  <c r="D8" i="14" s="1"/>
  <c r="E8" i="14" s="1"/>
  <c r="F8" i="14" s="1"/>
  <c r="G8" i="14" s="1"/>
  <c r="H8" i="14" s="1"/>
  <c r="I8" i="14" s="1"/>
  <c r="J8" i="14" s="1"/>
  <c r="K8" i="14" s="1"/>
  <c r="L8" i="14" s="1"/>
  <c r="M8" i="14" s="1"/>
  <c r="N8" i="14" s="1"/>
  <c r="P8" i="14" s="1"/>
  <c r="AY10" i="6"/>
  <c r="C11" i="14" s="1"/>
  <c r="AB11" i="6"/>
  <c r="AY11" i="6" s="1"/>
  <c r="C12" i="14" s="1"/>
  <c r="AA9" i="6"/>
  <c r="AB9" i="6" s="1"/>
  <c r="P12" i="14" l="1"/>
  <c r="B6" i="17"/>
  <c r="P11" i="14"/>
  <c r="B5" i="17"/>
  <c r="AY9" i="6"/>
  <c r="C10" i="14" s="1"/>
  <c r="AB22" i="6"/>
  <c r="AY22" i="6" s="1"/>
  <c r="C23" i="14" s="1"/>
  <c r="AB12" i="6"/>
  <c r="P23" i="14" l="1"/>
  <c r="B17" i="17"/>
  <c r="P10" i="14"/>
  <c r="B4" i="17"/>
  <c r="AY12" i="6"/>
  <c r="AB13" i="6"/>
  <c r="AY13" i="6" s="1"/>
  <c r="C14" i="14" s="1"/>
  <c r="P14" i="14" l="1"/>
  <c r="B8" i="17"/>
  <c r="D8" i="17" s="1"/>
  <c r="AZ5" i="6"/>
  <c r="C13" i="14"/>
  <c r="P13" i="14" l="1"/>
  <c r="B7" i="17"/>
  <c r="D7" i="17" s="1"/>
  <c r="E18" i="17" s="1"/>
  <c r="C21" i="14"/>
  <c r="B15" i="17" s="1"/>
  <c r="BA5" i="6"/>
  <c r="BA24" i="6" l="1"/>
  <c r="C22" i="14"/>
  <c r="B16" i="17" s="1"/>
  <c r="D22" i="14" l="1"/>
  <c r="BA43" i="6"/>
  <c r="BA62" i="6" l="1"/>
  <c r="E22" i="14"/>
  <c r="F22" i="14" l="1"/>
  <c r="BA81" i="6"/>
  <c r="BA100" i="6" l="1"/>
  <c r="G22" i="14"/>
  <c r="H22" i="14" l="1"/>
  <c r="BA119" i="6"/>
  <c r="BA138" i="6" l="1"/>
  <c r="I22" i="14"/>
  <c r="J22" i="14" l="1"/>
  <c r="BA157" i="6"/>
  <c r="K22" i="14" l="1"/>
  <c r="BA176" i="6"/>
  <c r="BA195" i="6" l="1"/>
  <c r="L22" i="14"/>
  <c r="M22" i="14" l="1"/>
  <c r="BA214" i="6"/>
  <c r="N22" i="14" s="1"/>
  <c r="P22" i="14" s="1"/>
</calcChain>
</file>

<file path=xl/comments1.xml><?xml version="1.0" encoding="utf-8"?>
<comments xmlns="http://schemas.openxmlformats.org/spreadsheetml/2006/main">
  <authors>
    <author>ignacy</author>
  </authors>
  <commentList>
    <comment ref="P24" authorId="0" shapeId="0">
      <text>
        <r>
          <rPr>
            <sz val="9"/>
            <color indexed="81"/>
            <rFont val="Tahoma"/>
            <family val="2"/>
          </rPr>
          <t>Papa a 73 ans</t>
        </r>
      </text>
    </comment>
  </commentList>
</comments>
</file>

<file path=xl/sharedStrings.xml><?xml version="1.0" encoding="utf-8"?>
<sst xmlns="http://schemas.openxmlformats.org/spreadsheetml/2006/main" count="458" uniqueCount="116">
  <si>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</si>
  <si>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</si>
  <si>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</si>
  <si>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</si>
  <si>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</si>
  <si>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</si>
  <si>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</si>
  <si>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</si>
  <si>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</si>
  <si>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</si>
  <si>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</si>
  <si>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</si>
  <si>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</si>
  <si>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</si>
  <si>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</si>
  <si>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</si>
  <si>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</si>
  <si>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</si>
  <si>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</si>
  <si>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</si>
  <si>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</si>
  <si>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</si>
  <si>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</si>
  <si>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</si>
  <si>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</si>
  <si>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</si>
  <si>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</si>
  <si>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</si>
  <si>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</si>
  <si>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</si>
  <si>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</si>
  <si>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</si>
  <si>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</si>
  <si>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</si>
  <si>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</si>
  <si>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</si>
  <si>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</si>
  <si>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</si>
  <si>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</si>
  <si>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</si>
  <si>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</si>
  <si>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</si>
  <si>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</si>
  <si>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</si>
  <si>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</si>
  <si>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</si>
  <si>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</si>
  <si>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</si>
  <si>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</si>
  <si>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</si>
  <si>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</si>
  <si>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</si>
  <si>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</si>
  <si>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</si>
  <si>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</si>
  <si>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</si>
  <si>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</si>
  <si>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</si>
  <si>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</si>
  <si>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</si>
  <si>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</si>
  <si>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</si>
  <si>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</si>
  <si>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</si>
  <si>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</si>
  <si>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</si>
  <si>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</si>
  <si>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</si>
  <si>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</si>
  <si>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</si>
  <si>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</si>
  <si>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</si>
  <si>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</si>
  <si>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 xml:space="preserve">Paie du mois de </t>
  </si>
  <si>
    <t>JANVIER</t>
  </si>
  <si>
    <t>Année :</t>
  </si>
  <si>
    <t>Anniversaires</t>
  </si>
  <si>
    <t>Vacances scolaires</t>
  </si>
  <si>
    <t>http://www.education.gouv.fr/pid25058/le-calendrier-scolaire.html</t>
  </si>
  <si>
    <t>Date de férié</t>
  </si>
  <si>
    <t>Motif</t>
  </si>
  <si>
    <t>Date de naiss.</t>
  </si>
  <si>
    <t>Personne</t>
  </si>
  <si>
    <t>Fin des cours</t>
  </si>
  <si>
    <t>Reprise</t>
  </si>
  <si>
    <t>http://www.education.gouv.fr/cid197/les-archives-calendrier-scolaire-partir-1960.html</t>
  </si>
  <si>
    <t>Jour de l'an</t>
  </si>
  <si>
    <t>Ma Douce et Belle</t>
  </si>
  <si>
    <t>Fête du travail</t>
  </si>
  <si>
    <t>Victoire 1945</t>
  </si>
  <si>
    <t>Fête nationale</t>
  </si>
  <si>
    <t>Assomption</t>
  </si>
  <si>
    <t>Toussaint</t>
  </si>
  <si>
    <t>Armistice</t>
  </si>
  <si>
    <t>Noël</t>
  </si>
  <si>
    <t>Lundi de Pâques</t>
  </si>
  <si>
    <t>Ascension</t>
  </si>
  <si>
    <t>Lundi de Pentecote</t>
  </si>
  <si>
    <t>Date de reprise incertaine</t>
  </si>
  <si>
    <t>Jumeaux</t>
  </si>
  <si>
    <t>Mathéo</t>
  </si>
  <si>
    <t>Moi</t>
  </si>
  <si>
    <t>Maman</t>
  </si>
  <si>
    <t>Papa</t>
  </si>
  <si>
    <t>Estimation</t>
  </si>
  <si>
    <t>Taux horaire brut</t>
  </si>
  <si>
    <t>Salaire de base ss heure</t>
  </si>
  <si>
    <t>CP</t>
  </si>
  <si>
    <t>Prime de prod moyenne</t>
  </si>
  <si>
    <t>Normal</t>
  </si>
  <si>
    <t>compl</t>
  </si>
  <si>
    <t xml:space="preserve">A partir de </t>
  </si>
  <si>
    <t>Cycle normal</t>
  </si>
  <si>
    <t>Frais kilométrique</t>
  </si>
  <si>
    <t>c4</t>
  </si>
  <si>
    <t>INDEX(Synthése!$C$9:$N$23;EQUIV(A3;Synthése!$A$9:$A$23;0);EQUIV($B$1;Janv;0))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</si>
</sst>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6" formatCode="dd\ mmmm"/>
    <numFmt numFmtId="167" formatCode="ddd\ dd\ mmm\ yy"/>
  </numFmts>
  <fonts count="23">
    <font>
      <sz val="12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sz val="12"/>
      <color rgb="FFFF0000"/>
      <name val="Cambria"/>
      <family val="2"/>
      <scheme val="minor"/>
    </font>
    <font>
      <u/>
      <sz val="12"/>
      <color theme="10"/>
      <name val="Cambria"/>
      <family val="2"/>
      <scheme val="minor"/>
    </font>
    <font>
      <sz val="10"/>
      <name val="Geneva"/>
    </font>
    <font>
      <b/>
      <sz val="10"/>
      <color rgb="FF000000"/>
      <name val="Times New Roman"/>
      <family val="1"/>
    </font>
    <font>
      <b/>
      <sz val="10"/>
      <color rgb="FFFF0000"/>
      <name val="Times New Roman"/>
      <family val="1"/>
    </font>
    <font>
      <sz val="9"/>
      <color indexed="81"/>
      <name val="Tahoma"/>
      <family val="2"/>
    </font>
    <font>
      <b/>
      <sz val="22"/>
      <color rgb="FF000000"/>
      <name val="Cambria"/>
      <family val="1"/>
      <scheme val="minor"/>
    </font>
    <font>
      <sz val="10"/>
      <color rgb="FF00000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ECC8A4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rgb="FF00FF00"/>
      </top>
      <bottom style="double">
        <color rgb="FF00FF00"/>
      </bottom>
      <diagonal/>
    </border>
  </borders>
  <cellStyleXfs count="8">
    <xf numFmtId="0" fontId="0" fillId="0" borderId="0"/>
    <xf numFmtId="0" fontId="3" fillId="0" borderId="0"/>
    <xf numFmtId="0" fontId="2" fillId="2" borderId="1" applyNumberFormat="0" applyAlignment="0" applyProtection="0"/>
    <xf numFmtId="0" fontId="4" fillId="3" borderId="0" applyNumberFormat="0" applyBorder="0" applyAlignment="0" applyProtection="0"/>
    <xf numFmtId="0" fontId="5" fillId="0" borderId="0" applyNumberFormat="0" applyFill="0" applyAlignment="0" applyProtection="0"/>
    <xf numFmtId="0" fontId="1" fillId="0" borderId="0"/>
    <xf numFmtId="0" fontId="16" fillId="0" borderId="0" applyNumberFormat="0" applyFill="0" applyBorder="0" applyAlignment="0" applyProtection="0"/>
    <xf numFmtId="0" fontId="17" fillId="0" borderId="0"/>
  </cellStyleXfs>
  <cellXfs count="116">
    <xf numFmtId="0" fontId="0" fillId="0" borderId="0" xfId="0"/>
    <xf numFmtId="0" fontId="3" fillId="0" borderId="0" xfId="1" applyFont="1"/>
    <xf numFmtId="0" fontId="6" fillId="0" borderId="0" xfId="1" applyFont="1"/>
    <xf numFmtId="0" fontId="3" fillId="0" borderId="0" xfId="1" applyFont="1" applyAlignment="1">
      <alignment horizontal="center"/>
    </xf>
    <xf numFmtId="0" fontId="8" fillId="0" borderId="0" xfId="1" applyFont="1"/>
    <xf numFmtId="0" fontId="8" fillId="0" borderId="0" xfId="1" applyNumberFormat="1" applyFont="1"/>
    <xf numFmtId="0" fontId="3" fillId="0" borderId="0" xfId="1" applyFont="1" applyFill="1" applyBorder="1" applyAlignment="1">
      <alignment horizontal="center"/>
    </xf>
    <xf numFmtId="0" fontId="3" fillId="0" borderId="0" xfId="1" applyFont="1" applyFill="1" applyBorder="1" applyAlignment="1"/>
    <xf numFmtId="0" fontId="9" fillId="0" borderId="0" xfId="0" applyFont="1" applyAlignment="1">
      <alignment horizontal="center" vertical="center"/>
    </xf>
    <xf numFmtId="0" fontId="3" fillId="0" borderId="0" xfId="1" applyFont="1" applyFill="1" applyBorder="1" applyAlignment="1">
      <alignment horizontal="left"/>
    </xf>
    <xf numFmtId="164" fontId="7" fillId="0" borderId="0" xfId="1" applyNumberFormat="1" applyFont="1" applyFill="1" applyBorder="1" applyAlignment="1">
      <alignment horizontal="center" vertical="top" wrapText="1"/>
    </xf>
    <xf numFmtId="2" fontId="3" fillId="0" borderId="0" xfId="1" applyNumberFormat="1" applyFont="1" applyFill="1" applyBorder="1" applyAlignment="1"/>
    <xf numFmtId="0" fontId="3" fillId="0" borderId="0" xfId="1" applyFont="1" applyBorder="1" applyAlignment="1">
      <alignment horizontal="center"/>
    </xf>
    <xf numFmtId="2" fontId="7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Alignment="1"/>
    <xf numFmtId="0" fontId="3" fillId="0" borderId="0" xfId="1" applyFont="1" applyFill="1"/>
    <xf numFmtId="0" fontId="7" fillId="0" borderId="0" xfId="1" applyNumberFormat="1" applyFont="1" applyFill="1" applyBorder="1" applyAlignment="1">
      <alignment horizontal="left" vertical="top" wrapText="1"/>
    </xf>
    <xf numFmtId="49" fontId="10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Fill="1" applyBorder="1" applyAlignment="1">
      <alignment vertical="center"/>
    </xf>
    <xf numFmtId="0" fontId="11" fillId="0" borderId="0" xfId="0" applyFont="1"/>
    <xf numFmtId="49" fontId="6" fillId="0" borderId="0" xfId="1" applyNumberFormat="1" applyFont="1" applyBorder="1" applyAlignment="1">
      <alignment vertical="center"/>
    </xf>
    <xf numFmtId="49" fontId="6" fillId="0" borderId="0" xfId="1" applyNumberFormat="1" applyFont="1" applyBorder="1" applyAlignment="1">
      <alignment horizontal="center" vertical="center"/>
    </xf>
    <xf numFmtId="0" fontId="13" fillId="0" borderId="0" xfId="0" applyFont="1"/>
    <xf numFmtId="165" fontId="8" fillId="0" borderId="0" xfId="0" applyNumberFormat="1" applyFont="1" applyFill="1" applyBorder="1" applyAlignment="1">
      <alignment vertical="center" textRotation="90"/>
    </xf>
    <xf numFmtId="0" fontId="8" fillId="0" borderId="0" xfId="0" applyFont="1"/>
    <xf numFmtId="0" fontId="7" fillId="0" borderId="0" xfId="1" applyNumberFormat="1" applyFont="1" applyFill="1" applyBorder="1" applyAlignment="1">
      <alignment horizontal="center" vertical="top" wrapText="1"/>
    </xf>
    <xf numFmtId="0" fontId="8" fillId="0" borderId="0" xfId="0" applyNumberFormat="1" applyFont="1" applyFill="1" applyBorder="1" applyAlignment="1">
      <alignment horizontal="center" vertical="center" textRotation="90"/>
    </xf>
    <xf numFmtId="0" fontId="8" fillId="0" borderId="0" xfId="0" applyNumberFormat="1" applyFont="1"/>
    <xf numFmtId="0" fontId="8" fillId="0" borderId="0" xfId="0" applyNumberFormat="1" applyFont="1" applyBorder="1"/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/>
    <xf numFmtId="164" fontId="14" fillId="0" borderId="0" xfId="1" applyNumberFormat="1" applyFont="1" applyFill="1" applyBorder="1" applyAlignment="1">
      <alignment horizontal="left" vertical="top" wrapText="1"/>
    </xf>
    <xf numFmtId="0" fontId="8" fillId="0" borderId="0" xfId="3" applyNumberFormat="1" applyFont="1" applyFill="1" applyBorder="1" applyAlignment="1">
      <alignment horizontal="center" vertical="top" wrapText="1"/>
    </xf>
    <xf numFmtId="0" fontId="3" fillId="0" borderId="0" xfId="1" applyFont="1" applyFill="1" applyBorder="1"/>
    <xf numFmtId="164" fontId="14" fillId="0" borderId="0" xfId="1" applyNumberFormat="1" applyFont="1" applyFill="1" applyBorder="1" applyAlignment="1">
      <alignment horizontal="center" vertical="top" wrapText="1"/>
    </xf>
    <xf numFmtId="0" fontId="7" fillId="0" borderId="0" xfId="0" applyFont="1" applyBorder="1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0" borderId="0" xfId="2" applyFont="1" applyFill="1" applyBorder="1" applyAlignment="1">
      <alignment horizontal="center" vertical="center"/>
    </xf>
    <xf numFmtId="0" fontId="14" fillId="0" borderId="0" xfId="1" applyNumberFormat="1" applyFont="1" applyFill="1" applyBorder="1" applyAlignment="1">
      <alignment horizontal="center" vertical="top" wrapText="1"/>
    </xf>
    <xf numFmtId="0" fontId="8" fillId="0" borderId="0" xfId="1" applyNumberFormat="1" applyFont="1" applyFill="1" applyBorder="1" applyAlignment="1">
      <alignment horizontal="center" vertical="top" wrapText="1"/>
    </xf>
    <xf numFmtId="0" fontId="6" fillId="0" borderId="0" xfId="1" applyFont="1" applyFill="1" applyBorder="1"/>
    <xf numFmtId="0" fontId="0" fillId="0" borderId="0" xfId="0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49" fontId="7" fillId="0" borderId="0" xfId="1" applyNumberFormat="1" applyFont="1" applyBorder="1" applyAlignment="1">
      <alignment horizontal="left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7" fillId="5" borderId="0" xfId="1" applyNumberFormat="1" applyFont="1" applyFill="1" applyBorder="1" applyAlignment="1">
      <alignment horizontal="left" vertical="top" wrapText="1"/>
    </xf>
    <xf numFmtId="0" fontId="7" fillId="5" borderId="0" xfId="1" applyNumberFormat="1" applyFont="1" applyFill="1" applyBorder="1" applyAlignment="1">
      <alignment horizontal="center" vertical="top" wrapText="1"/>
    </xf>
    <xf numFmtId="0" fontId="14" fillId="5" borderId="0" xfId="1" applyNumberFormat="1" applyFont="1" applyFill="1" applyBorder="1" applyAlignment="1">
      <alignment horizontal="center" vertical="top" wrapText="1"/>
    </xf>
    <xf numFmtId="0" fontId="7" fillId="6" borderId="0" xfId="1" applyNumberFormat="1" applyFont="1" applyFill="1" applyBorder="1" applyAlignment="1">
      <alignment horizontal="left" vertical="top" wrapText="1"/>
    </xf>
    <xf numFmtId="0" fontId="7" fillId="6" borderId="0" xfId="1" applyNumberFormat="1" applyFont="1" applyFill="1" applyBorder="1" applyAlignment="1">
      <alignment horizontal="center" vertical="top" wrapText="1"/>
    </xf>
    <xf numFmtId="0" fontId="11" fillId="5" borderId="0" xfId="2" applyFont="1" applyFill="1" applyBorder="1" applyAlignment="1">
      <alignment horizontal="center" vertical="center"/>
    </xf>
    <xf numFmtId="164" fontId="7" fillId="6" borderId="0" xfId="1" applyNumberFormat="1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center"/>
    </xf>
    <xf numFmtId="0" fontId="7" fillId="6" borderId="2" xfId="1" applyNumberFormat="1" applyFont="1" applyFill="1" applyBorder="1" applyAlignment="1">
      <alignment horizontal="left" vertical="top" wrapText="1"/>
    </xf>
    <xf numFmtId="0" fontId="7" fillId="5" borderId="3" xfId="1" applyNumberFormat="1" applyFont="1" applyFill="1" applyBorder="1" applyAlignment="1">
      <alignment horizontal="left" vertical="top" wrapText="1"/>
    </xf>
    <xf numFmtId="0" fontId="7" fillId="6" borderId="3" xfId="1" applyNumberFormat="1" applyFont="1" applyFill="1" applyBorder="1" applyAlignment="1">
      <alignment horizontal="left" vertical="top" wrapText="1"/>
    </xf>
    <xf numFmtId="0" fontId="7" fillId="5" borderId="4" xfId="1" applyNumberFormat="1" applyFont="1" applyFill="1" applyBorder="1" applyAlignment="1">
      <alignment horizontal="left" vertical="top" wrapText="1"/>
    </xf>
    <xf numFmtId="49" fontId="6" fillId="0" borderId="0" xfId="1" applyNumberFormat="1" applyFont="1" applyBorder="1" applyAlignment="1">
      <alignment horizontal="left" vertical="center"/>
    </xf>
    <xf numFmtId="0" fontId="0" fillId="0" borderId="0" xfId="0" applyFill="1"/>
    <xf numFmtId="0" fontId="1" fillId="0" borderId="0" xfId="5"/>
    <xf numFmtId="0" fontId="1" fillId="0" borderId="0" xfId="5" applyFill="1" applyAlignment="1">
      <alignment horizontal="center"/>
    </xf>
    <xf numFmtId="16" fontId="1" fillId="0" borderId="0" xfId="5" applyNumberFormat="1"/>
    <xf numFmtId="0" fontId="1" fillId="0" borderId="0" xfId="5" applyAlignment="1">
      <alignment horizontal="left" indent="2"/>
    </xf>
    <xf numFmtId="0" fontId="0" fillId="0" borderId="0" xfId="0" applyNumberFormat="1"/>
    <xf numFmtId="0" fontId="0" fillId="7" borderId="0" xfId="0" applyFill="1" applyAlignment="1">
      <alignment horizontal="center"/>
    </xf>
    <xf numFmtId="0" fontId="0" fillId="7" borderId="0" xfId="0" applyFill="1" applyAlignment="1">
      <alignment horizontal="left"/>
    </xf>
    <xf numFmtId="0" fontId="15" fillId="8" borderId="0" xfId="0" applyFont="1" applyFill="1" applyAlignment="1">
      <alignment horizontal="centerContinuous"/>
    </xf>
    <xf numFmtId="0" fontId="0" fillId="0" borderId="0" xfId="0" applyAlignment="1">
      <alignment horizontal="centerContinuous"/>
    </xf>
    <xf numFmtId="0" fontId="16" fillId="0" borderId="0" xfId="6"/>
    <xf numFmtId="0" fontId="15" fillId="8" borderId="0" xfId="0" applyFont="1" applyFill="1" applyAlignment="1">
      <alignment horizontal="center"/>
    </xf>
    <xf numFmtId="0" fontId="17" fillId="0" borderId="5" xfId="7" applyFont="1" applyBorder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7" fontId="17" fillId="8" borderId="3" xfId="7" applyNumberFormat="1" applyFill="1" applyBorder="1" applyAlignment="1">
      <alignment horizontal="center"/>
    </xf>
    <xf numFmtId="167" fontId="17" fillId="8" borderId="4" xfId="7" applyNumberFormat="1" applyFill="1" applyBorder="1" applyAlignment="1">
      <alignment horizontal="center"/>
    </xf>
    <xf numFmtId="167" fontId="17" fillId="0" borderId="2" xfId="7" applyNumberFormat="1" applyBorder="1" applyAlignment="1">
      <alignment horizontal="center"/>
    </xf>
    <xf numFmtId="167" fontId="17" fillId="0" borderId="2" xfId="7" applyNumberFormat="1" applyFont="1" applyBorder="1" applyAlignment="1">
      <alignment horizontal="center"/>
    </xf>
    <xf numFmtId="167" fontId="17" fillId="0" borderId="3" xfId="7" applyNumberFormat="1" applyBorder="1" applyAlignment="1">
      <alignment horizontal="center"/>
    </xf>
    <xf numFmtId="0" fontId="0" fillId="9" borderId="0" xfId="0" applyFill="1"/>
    <xf numFmtId="167" fontId="17" fillId="0" borderId="4" xfId="7" applyNumberFormat="1" applyBorder="1" applyAlignment="1">
      <alignment horizontal="center"/>
    </xf>
    <xf numFmtId="167" fontId="17" fillId="8" borderId="2" xfId="7" applyNumberFormat="1" applyFill="1" applyBorder="1" applyAlignment="1">
      <alignment horizontal="center"/>
    </xf>
    <xf numFmtId="167" fontId="17" fillId="8" borderId="2" xfId="7" applyNumberFormat="1" applyFont="1" applyFill="1" applyBorder="1" applyAlignment="1">
      <alignment horizontal="center"/>
    </xf>
    <xf numFmtId="0" fontId="15" fillId="0" borderId="0" xfId="0" applyFont="1"/>
    <xf numFmtId="164" fontId="7" fillId="10" borderId="0" xfId="1" applyNumberFormat="1" applyFont="1" applyFill="1" applyBorder="1" applyAlignment="1">
      <alignment horizontal="center" vertical="top" wrapText="1"/>
    </xf>
    <xf numFmtId="0" fontId="18" fillId="5" borderId="0" xfId="2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top" wrapText="1"/>
    </xf>
    <xf numFmtId="166" fontId="0" fillId="0" borderId="0" xfId="0" applyNumberFormat="1" applyFill="1" applyAlignment="1">
      <alignment horizontal="center"/>
    </xf>
    <xf numFmtId="167" fontId="17" fillId="0" borderId="2" xfId="7" applyNumberFormat="1" applyFill="1" applyBorder="1" applyAlignment="1">
      <alignment horizontal="center"/>
    </xf>
    <xf numFmtId="167" fontId="17" fillId="0" borderId="2" xfId="7" applyNumberFormat="1" applyFont="1" applyFill="1" applyBorder="1" applyAlignment="1">
      <alignment horizontal="center"/>
    </xf>
    <xf numFmtId="167" fontId="17" fillId="0" borderId="3" xfId="7" applyNumberFormat="1" applyFill="1" applyBorder="1" applyAlignment="1">
      <alignment horizontal="center"/>
    </xf>
    <xf numFmtId="2" fontId="0" fillId="0" borderId="0" xfId="0" applyNumberFormat="1"/>
    <xf numFmtId="1" fontId="0" fillId="0" borderId="0" xfId="0" applyNumberFormat="1"/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9" fontId="0" fillId="0" borderId="0" xfId="0" applyNumberFormat="1"/>
    <xf numFmtId="49" fontId="7" fillId="6" borderId="0" xfId="1" applyNumberFormat="1" applyFont="1" applyFill="1" applyBorder="1" applyAlignment="1">
      <alignment horizontal="center" vertical="top" wrapText="1"/>
    </xf>
    <xf numFmtId="165" fontId="8" fillId="0" borderId="0" xfId="0" applyNumberFormat="1" applyFont="1" applyFill="1" applyBorder="1" applyAlignment="1">
      <alignment horizontal="center" vertical="center" textRotation="90"/>
    </xf>
    <xf numFmtId="0" fontId="8" fillId="0" borderId="0" xfId="1" applyFont="1" applyFill="1" applyBorder="1" applyAlignment="1">
      <alignment horizontal="center"/>
    </xf>
    <xf numFmtId="0" fontId="18" fillId="10" borderId="0" xfId="2" applyFont="1" applyFill="1" applyBorder="1" applyAlignment="1">
      <alignment horizontal="center" vertical="center"/>
    </xf>
    <xf numFmtId="49" fontId="21" fillId="0" borderId="0" xfId="1" applyNumberFormat="1" applyFont="1" applyFill="1" applyBorder="1" applyAlignment="1">
      <alignment vertical="center"/>
    </xf>
    <xf numFmtId="0" fontId="22" fillId="0" borderId="0" xfId="1" applyNumberFormat="1" applyFont="1" applyFill="1" applyBorder="1" applyAlignment="1">
      <alignment horizontal="center" vertical="top" wrapText="1"/>
    </xf>
    <xf numFmtId="0" fontId="19" fillId="10" borderId="0" xfId="2" applyFont="1" applyFill="1" applyBorder="1" applyAlignment="1">
      <alignment horizontal="center" vertical="center"/>
    </xf>
    <xf numFmtId="0" fontId="7" fillId="5" borderId="0" xfId="0" quotePrefix="1" applyFont="1" applyFill="1" applyBorder="1" applyAlignment="1">
      <alignment horizontal="left"/>
    </xf>
    <xf numFmtId="0" fontId="7" fillId="5" borderId="0" xfId="0" applyFont="1" applyFill="1" applyBorder="1" applyAlignment="1">
      <alignment horizontal="center"/>
    </xf>
    <xf numFmtId="164" fontId="7" fillId="5" borderId="0" xfId="1" applyNumberFormat="1" applyFont="1" applyFill="1" applyBorder="1" applyAlignment="1">
      <alignment horizontal="center" vertical="top" wrapText="1"/>
    </xf>
    <xf numFmtId="164" fontId="14" fillId="5" borderId="0" xfId="1" applyNumberFormat="1" applyFont="1" applyFill="1" applyBorder="1" applyAlignment="1">
      <alignment horizontal="center" vertical="top" wrapText="1"/>
    </xf>
    <xf numFmtId="0" fontId="7" fillId="6" borderId="0" xfId="0" quotePrefix="1" applyFont="1" applyFill="1" applyBorder="1" applyAlignment="1">
      <alignment horizontal="left"/>
    </xf>
    <xf numFmtId="0" fontId="7" fillId="6" borderId="0" xfId="0" applyFont="1" applyFill="1" applyBorder="1" applyAlignment="1">
      <alignment horizontal="center"/>
    </xf>
    <xf numFmtId="164" fontId="14" fillId="6" borderId="0" xfId="1" applyNumberFormat="1" applyFont="1" applyFill="1" applyBorder="1" applyAlignment="1">
      <alignment horizontal="center" vertical="top" wrapText="1"/>
    </xf>
    <xf numFmtId="49" fontId="6" fillId="0" borderId="0" xfId="1" applyNumberFormat="1" applyFont="1" applyBorder="1" applyAlignment="1">
      <alignment horizontal="center" vertical="center"/>
    </xf>
    <xf numFmtId="49" fontId="21" fillId="0" borderId="0" xfId="1" applyNumberFormat="1" applyFont="1" applyFill="1" applyBorder="1" applyAlignment="1">
      <alignment horizontal="center" vertical="center"/>
    </xf>
    <xf numFmtId="0" fontId="11" fillId="6" borderId="0" xfId="2" applyFont="1" applyFill="1" applyBorder="1" applyAlignment="1">
      <alignment horizontal="center" vertical="center" textRotation="45"/>
    </xf>
    <xf numFmtId="0" fontId="12" fillId="6" borderId="0" xfId="2" applyFont="1" applyFill="1" applyBorder="1" applyAlignment="1">
      <alignment horizontal="center" vertical="center" wrapText="1"/>
    </xf>
    <xf numFmtId="49" fontId="6" fillId="0" borderId="0" xfId="1" applyNumberFormat="1" applyFont="1" applyFill="1" applyBorder="1" applyAlignment="1">
      <alignment horizontal="center" vertical="center"/>
    </xf>
  </cellXfs>
  <cellStyles count="8">
    <cellStyle name="40% - Accent1 2" xfId="3"/>
    <cellStyle name="Accent1 2" xfId="2"/>
    <cellStyle name="Heading 1 2" xfId="4"/>
    <cellStyle name="Lien hypertexte" xfId="6" builtinId="8"/>
    <cellStyle name="Normal" xfId="0" builtinId="0" customBuiltin="1"/>
    <cellStyle name="Normal 2" xfId="1"/>
    <cellStyle name="Normal 3" xfId="5"/>
    <cellStyle name="Normal_Paramètres" xfId="7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EAE8E0"/>
      <color rgb="FFA19574"/>
      <color rgb="FFA1A974"/>
      <color rgb="FFC17529"/>
      <color rgb="FFFDFDFD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1</xdr:row>
          <xdr:rowOff>57150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dov\Downloads\Planning%20vierge%20ok%20V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gy0\Desktop\planning%20test\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Evenements"/>
      <sheetName val="Synthése"/>
      <sheetName val="Paie"/>
      <sheetName val="DATA"/>
    </sheetNames>
    <sheetDataSet>
      <sheetData sheetId="0" refreshError="1">
        <row r="1">
          <cell r="A1">
            <v>2016</v>
          </cell>
        </row>
      </sheetData>
      <sheetData sheetId="1" refreshError="1"/>
      <sheetData sheetId="2" refreshError="1">
        <row r="1">
          <cell r="C1" t="str">
            <v>Janv</v>
          </cell>
          <cell r="D1" t="str">
            <v>Fev</v>
          </cell>
          <cell r="E1" t="str">
            <v>Mars</v>
          </cell>
          <cell r="F1" t="str">
            <v>Avril</v>
          </cell>
          <cell r="G1" t="str">
            <v>Mai</v>
          </cell>
          <cell r="H1" t="str">
            <v>Juin</v>
          </cell>
          <cell r="I1" t="str">
            <v>Juil</v>
          </cell>
          <cell r="J1" t="str">
            <v>Aout</v>
          </cell>
          <cell r="K1" t="str">
            <v>Sept</v>
          </cell>
          <cell r="L1" t="str">
            <v>Oct</v>
          </cell>
          <cell r="M1" t="str">
            <v>Nov</v>
          </cell>
          <cell r="N1" t="str">
            <v>Dec</v>
          </cell>
        </row>
      </sheetData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Feuil1"/>
      <sheetName val="Jours spéciaux"/>
      <sheetName val="Synthése"/>
      <sheetName val="Paie"/>
      <sheetName val="DATA"/>
    </sheetNames>
    <sheetDataSet>
      <sheetData sheetId="0"/>
      <sheetData sheetId="1"/>
      <sheetData sheetId="2"/>
      <sheetData sheetId="3"/>
      <sheetData sheetId="4"/>
      <sheetData sheetId="5">
        <row r="12">
          <cell r="B12" t="str">
            <v>Lundi</v>
          </cell>
          <cell r="C12" t="str">
            <v>Mardi</v>
          </cell>
          <cell r="D12" t="str">
            <v>Mercredi</v>
          </cell>
          <cell r="E12" t="str">
            <v>Jeudi</v>
          </cell>
          <cell r="F12" t="str">
            <v>Vendredi</v>
          </cell>
          <cell r="G12" t="str">
            <v>Samedi</v>
          </cell>
          <cell r="H12" t="str">
            <v>Dimanche</v>
          </cell>
        </row>
        <row r="13">
          <cell r="A13" t="str">
            <v>C1</v>
          </cell>
          <cell r="B13">
            <v>1</v>
          </cell>
          <cell r="C13">
            <v>1</v>
          </cell>
          <cell r="D13">
            <v>1</v>
          </cell>
        </row>
        <row r="14">
          <cell r="A14" t="str">
            <v>C2</v>
          </cell>
          <cell r="B14">
            <v>1</v>
          </cell>
          <cell r="C14">
            <v>1</v>
          </cell>
          <cell r="D14">
            <v>1</v>
          </cell>
          <cell r="E14">
            <v>1</v>
          </cell>
          <cell r="F14">
            <v>1</v>
          </cell>
        </row>
        <row r="15">
          <cell r="A15" t="str">
            <v>C3</v>
          </cell>
          <cell r="B15">
            <v>1</v>
          </cell>
          <cell r="E15">
            <v>1</v>
          </cell>
          <cell r="F15">
            <v>1</v>
          </cell>
        </row>
        <row r="16">
          <cell r="A16" t="str">
            <v>C4</v>
          </cell>
          <cell r="B16">
            <v>1</v>
          </cell>
          <cell r="C16">
            <v>1</v>
          </cell>
          <cell r="D16">
            <v>1</v>
          </cell>
          <cell r="E16">
            <v>1</v>
          </cell>
          <cell r="F16">
            <v>1</v>
          </cell>
        </row>
      </sheetData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31"/>
  <sheetViews>
    <sheetView showGridLines="0" showZeros="0" tabSelected="1" zoomScaleNormal="100" workbookViewId="0">
      <pane xSplit="1" ySplit="3" topLeftCell="C4" activePane="bottomRight" state="frozen"/>
      <selection pane="topRight" activeCell="B1" sqref="B1"/>
      <selection pane="bottomLeft" activeCell="A4" sqref="A4"/>
      <selection pane="bottomRight" activeCell="N1" sqref="N1"/>
    </sheetView>
  </sheetViews>
  <sheetFormatPr baseColWidth="10" defaultColWidth="6.6640625" defaultRowHeight="14.25"/>
  <cols>
    <col min="1" max="1" width="11.21875" style="1" customWidth="1"/>
    <col min="2" max="2" width="5.77734375" style="1" customWidth="1"/>
    <col min="3" max="50" width="4.77734375" style="1" customWidth="1"/>
    <col min="51" max="57" width="7.77734375" style="1" customWidth="1"/>
    <col min="58" max="58" width="4.5546875" style="1" customWidth="1"/>
    <col min="59" max="16384" width="6.6640625" style="1"/>
  </cols>
  <sheetData>
    <row r="1" spans="1:59" ht="25.5">
      <c r="A1" s="17">
        <v>2018</v>
      </c>
      <c r="C1" s="45" t="s">
        <v>69</v>
      </c>
      <c r="D1" s="14"/>
      <c r="E1" s="7"/>
      <c r="F1" s="13" t="s">
        <v>70</v>
      </c>
      <c r="G1" s="13"/>
      <c r="H1" s="13" t="s">
        <v>71</v>
      </c>
      <c r="I1" s="13"/>
      <c r="J1" s="13" t="s">
        <v>72</v>
      </c>
      <c r="K1" s="13"/>
      <c r="L1" s="13"/>
      <c r="M1" s="13"/>
      <c r="N1" s="13"/>
      <c r="O1" s="13"/>
      <c r="P1" s="13"/>
      <c r="Q1" s="13">
        <f>MAX(MIN(DATA!E22-DATA!D22,Travail!J10-Travail!J7-Travail!J11),0)</f>
        <v>0</v>
      </c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>
      <c r="C2" s="18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114" t="s">
        <v>38</v>
      </c>
      <c r="BA2" s="114" t="s">
        <v>39</v>
      </c>
      <c r="BB2" s="8"/>
      <c r="BF2" s="11"/>
    </row>
    <row r="3" spans="1:59" s="3" customFormat="1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114"/>
      <c r="BA3" s="114"/>
      <c r="BF3" s="6"/>
    </row>
    <row r="4" spans="1:59" s="2" customFormat="1" ht="27">
      <c r="A4" s="19"/>
      <c r="B4" s="19"/>
      <c r="C4" s="20" t="s">
        <v>0</v>
      </c>
      <c r="D4" s="20"/>
      <c r="E4" s="20"/>
      <c r="F4" s="20"/>
      <c r="G4" s="20"/>
      <c r="H4" s="111">
        <f>Année_Calendaire</f>
        <v>2018</v>
      </c>
      <c r="I4" s="111"/>
      <c r="J4" s="95"/>
      <c r="K4" s="44"/>
      <c r="L4" s="21"/>
      <c r="M4" s="21"/>
      <c r="N4" s="21"/>
      <c r="O4" s="21"/>
      <c r="P4" s="21"/>
      <c r="Q4" s="21"/>
      <c r="R4" s="21"/>
      <c r="S4" s="37"/>
      <c r="T4" s="44"/>
      <c r="U4" s="20" t="s">
        <v>0</v>
      </c>
      <c r="V4" s="20"/>
      <c r="W4" s="20"/>
      <c r="X4" s="20"/>
      <c r="Y4" s="20"/>
      <c r="Z4" s="111">
        <f>Année_Calendaire</f>
        <v>2018</v>
      </c>
      <c r="AA4" s="111"/>
      <c r="AB4" s="37"/>
      <c r="AC4" s="44"/>
      <c r="AD4" s="21"/>
      <c r="AE4" s="21"/>
      <c r="AF4" s="21"/>
      <c r="AG4" s="21"/>
      <c r="AH4" s="21"/>
      <c r="AI4" s="21"/>
      <c r="AJ4" s="21"/>
      <c r="AK4" s="37"/>
      <c r="AL4" s="44"/>
      <c r="AM4" s="20" t="s">
        <v>0</v>
      </c>
      <c r="AN4" s="20"/>
      <c r="AO4" s="20"/>
      <c r="AP4" s="20"/>
      <c r="AQ4" s="20"/>
      <c r="AR4" s="111">
        <f>Année_Calendaire</f>
        <v>2018</v>
      </c>
      <c r="AS4" s="111"/>
      <c r="AT4" s="37"/>
      <c r="AU4" s="44"/>
      <c r="AV4" s="21"/>
      <c r="AW4" s="21"/>
      <c r="AY4" s="59" t="s">
        <v>74</v>
      </c>
      <c r="AZ4" s="18"/>
      <c r="BA4" s="18"/>
      <c r="BB4" s="18"/>
      <c r="BC4" s="18"/>
      <c r="BD4" s="115"/>
      <c r="BE4" s="115"/>
      <c r="BF4" s="41"/>
    </row>
    <row r="5" spans="1:59" s="22" customFormat="1" ht="29.25" customHeight="1">
      <c r="A5" s="35"/>
      <c r="B5" s="54" t="s">
        <v>114</v>
      </c>
      <c r="C5" s="86" t="str">
        <f>IF(C6&lt;&gt;"","Lun","")</f>
        <v>Lun</v>
      </c>
      <c r="D5" s="86" t="str">
        <f>IF(D6&lt;&gt;"","Mar","")</f>
        <v>Mar</v>
      </c>
      <c r="E5" s="86" t="str">
        <f>IF(E6&lt;&gt;"","Mer","")</f>
        <v>Mer</v>
      </c>
      <c r="F5" s="86" t="str">
        <f>IF(F6&lt;&gt;"","Jeu","")</f>
        <v>Jeu</v>
      </c>
      <c r="G5" s="86" t="str">
        <f>IF(G6&lt;&gt;"","Ven","")</f>
        <v>Ven</v>
      </c>
      <c r="H5" s="86" t="str">
        <f>IF(H6&lt;&gt;"","Sam","")</f>
        <v>Sam</v>
      </c>
      <c r="I5" s="86" t="str">
        <f>IF(I6&lt;&gt;"","Dim","")</f>
        <v>Dim</v>
      </c>
      <c r="J5" s="113" t="s">
        <v>25</v>
      </c>
      <c r="K5" s="54" t="str">
        <f>IF(L5="",LEFT(B5)&amp;MOD(RIGHT(B5),5),LEFT(B5)&amp;MOD(RIGHT(B5),4)+1)</f>
        <v>c1</v>
      </c>
      <c r="L5" s="86" t="str">
        <f>IF(L6&lt;&gt;"","Lun","")</f>
        <v>Lun</v>
      </c>
      <c r="M5" s="86" t="str">
        <f>IF(M6&lt;&gt;"","Mar","")</f>
        <v>Mar</v>
      </c>
      <c r="N5" s="86" t="str">
        <f>IF(N6&lt;&gt;"","Mer","")</f>
        <v>Mer</v>
      </c>
      <c r="O5" s="86" t="str">
        <f>IF(O6&lt;&gt;"","Jeu","")</f>
        <v>Jeu</v>
      </c>
      <c r="P5" s="86" t="str">
        <f>IF(P6&lt;&gt;"","Ven","")</f>
        <v>Ven</v>
      </c>
      <c r="Q5" s="86" t="str">
        <f>IF(Q6&lt;&gt;"","Sam","")</f>
        <v>Sam</v>
      </c>
      <c r="R5" s="86" t="str">
        <f>IF(R6&lt;&gt;"","Dim","")</f>
        <v>Dim</v>
      </c>
      <c r="S5" s="113" t="s">
        <v>25</v>
      </c>
      <c r="T5" s="54" t="str">
        <f>IF(U5="",LEFT(K5)&amp;MOD(RIGHT(K5),5),LEFT(K5)&amp;MOD(RIGHT(K5),4)+1)</f>
        <v>c2</v>
      </c>
      <c r="U5" s="86" t="str">
        <f>IF(U6&lt;&gt;"","Lun","")</f>
        <v>Lun</v>
      </c>
      <c r="V5" s="86" t="str">
        <f>IF(V6&lt;&gt;"","Mar","")</f>
        <v>Mar</v>
      </c>
      <c r="W5" s="86" t="str">
        <f>IF(W6&lt;&gt;"","Mer","")</f>
        <v>Mer</v>
      </c>
      <c r="X5" s="86" t="str">
        <f>IF(X6&lt;&gt;"","Jeu","")</f>
        <v>Jeu</v>
      </c>
      <c r="Y5" s="86" t="str">
        <f>IF(Y6&lt;&gt;"","Ven","")</f>
        <v>Ven</v>
      </c>
      <c r="Z5" s="86" t="str">
        <f>IF(Z6&lt;&gt;"","Sam","")</f>
        <v>Sam</v>
      </c>
      <c r="AA5" s="86" t="str">
        <f>IF(AA6&lt;&gt;"","Dim","")</f>
        <v>Dim</v>
      </c>
      <c r="AB5" s="113" t="s">
        <v>25</v>
      </c>
      <c r="AC5" s="54" t="str">
        <f>IF(AD5="",LEFT(T5)&amp;MOD(RIGHT(T5),5),LEFT(T5)&amp;MOD(RIGHT(T5),4)+1)</f>
        <v>c3</v>
      </c>
      <c r="AD5" s="86" t="str">
        <f>IF(AD6&lt;&gt;"","Lun","")</f>
        <v>Lun</v>
      </c>
      <c r="AE5" s="86" t="str">
        <f>IF(AE6&lt;&gt;"","Mar","")</f>
        <v>Mar</v>
      </c>
      <c r="AF5" s="86" t="str">
        <f>IF(AF6&lt;&gt;"","Mer","")</f>
        <v>Mer</v>
      </c>
      <c r="AG5" s="86" t="str">
        <f>IF(AG6&lt;&gt;"","Jeu","")</f>
        <v>Jeu</v>
      </c>
      <c r="AH5" s="86" t="str">
        <f>IF(AH6&lt;&gt;"","Ven","")</f>
        <v>Ven</v>
      </c>
      <c r="AI5" s="86" t="str">
        <f>IF(AI6&lt;&gt;"","Sam","")</f>
        <v>Sam</v>
      </c>
      <c r="AJ5" s="86" t="str">
        <f>IF(AJ6&lt;&gt;"","Dim","")</f>
        <v>Dim</v>
      </c>
      <c r="AK5" s="113" t="s">
        <v>25</v>
      </c>
      <c r="AL5" s="54" t="str">
        <f>IF(AM5="",LEFT(AC5)&amp;MOD(RIGHT(AC5),5),LEFT(AC5)&amp;MOD(RIGHT(AC5),4)+1)</f>
        <v>c4</v>
      </c>
      <c r="AM5" s="86" t="str">
        <f>IF(AM6&lt;&gt;"","Lun","")</f>
        <v>Lun</v>
      </c>
      <c r="AN5" s="86" t="str">
        <f>IF(AN6&lt;&gt;"","Mar","")</f>
        <v>Mar</v>
      </c>
      <c r="AO5" s="86" t="str">
        <f>IF(AO6&lt;&gt;"","Mer","")</f>
        <v>Mer</v>
      </c>
      <c r="AP5" s="86" t="str">
        <f>IF(AP6&lt;&gt;"","Jeu","")</f>
        <v/>
      </c>
      <c r="AQ5" s="86" t="str">
        <f>IF(AQ6&lt;&gt;"","Ven","")</f>
        <v/>
      </c>
      <c r="AR5" s="86" t="str">
        <f>IF(AR6&lt;&gt;"","Sam","")</f>
        <v/>
      </c>
      <c r="AS5" s="86" t="str">
        <f>IF(AS6&lt;&gt;"","Dim","")</f>
        <v/>
      </c>
      <c r="AT5" s="113" t="s">
        <v>25</v>
      </c>
      <c r="AU5" s="54" t="str">
        <f>IF(AV5="",LEFT(AL5)&amp;MOD(RIGHT(AL5),5),LEFT(AL5)&amp;MOD(RIGHT(AL5),4)+1)</f>
        <v>c4</v>
      </c>
      <c r="AV5" s="52" t="str">
        <f>IF(AV6&lt;&gt;"","Lun","")</f>
        <v/>
      </c>
      <c r="AW5" s="52" t="str">
        <f>IF(AW6&lt;&gt;"","Mar","")</f>
        <v/>
      </c>
      <c r="AX5" s="113" t="s">
        <v>25</v>
      </c>
      <c r="AY5" s="113" t="s">
        <v>28</v>
      </c>
      <c r="AZ5" s="114">
        <f>AY12+AY13+AY14</f>
        <v>0</v>
      </c>
      <c r="BA5" s="114">
        <f>AZ5</f>
        <v>0</v>
      </c>
      <c r="BB5" s="38"/>
      <c r="BC5" s="38"/>
      <c r="BD5" s="38"/>
      <c r="BE5" s="38"/>
      <c r="BF5" s="33"/>
    </row>
    <row r="6" spans="1:59" s="24" customFormat="1" ht="15" customHeight="1">
      <c r="A6" s="10"/>
      <c r="B6" s="53"/>
      <c r="C6" s="87">
        <f>IF(DAY(Jan_Dim1)=1,"",IF(AND(YEAR(Jan_Dim1+1)=Année_Calendaire,MONTH(Jan_Dim1+1)=1),Jan_Dim1+1,""))</f>
        <v>43101</v>
      </c>
      <c r="D6" s="85">
        <f>IF(DAY(Jan_Dim1)=1,"",IF(AND(YEAR(Jan_Dim1+2)=Année_Calendaire,MONTH(Jan_Dim1+2)=1),Jan_Dim1+2,""))</f>
        <v>43102</v>
      </c>
      <c r="E6" s="85">
        <f>IF(DAY(Jan_Dim1)=1,"",IF(AND(YEAR(Jan_Dim1+3)=Année_Calendaire,MONTH(Jan_Dim1+3)=1),Jan_Dim1+3,""))</f>
        <v>43103</v>
      </c>
      <c r="F6" s="85">
        <f>IF(DAY(Jan_Dim1)=1,"",IF(AND(YEAR(Jan_Dim1+4)=Année_Calendaire,MONTH(Jan_Dim1+4)=1),Jan_Dim1+4,""))</f>
        <v>43104</v>
      </c>
      <c r="G6" s="85">
        <f>IF(DAY(Jan_Dim1)=1,"",IF(AND(YEAR(Jan_Dim1+5)=Année_Calendaire,MONTH(Jan_Dim1+5)=1),Jan_Dim1+5,""))</f>
        <v>43105</v>
      </c>
      <c r="H6" s="85">
        <f>IF(DAY(Jan_Dim1)=1,"",IF(AND(YEAR(Jan_Dim1+6)=Année_Calendaire,MONTH(Jan_Dim1+6)=1),Jan_Dim1+6,""))</f>
        <v>43106</v>
      </c>
      <c r="I6" s="85">
        <f>IF(DAY(Jan_Dim1)=1,IF(AND(YEAR(Jan_Dim1)=Année_Calendaire,MONTH(Jan_Dim1)=1),Jan_Dim1,""),IF(AND(YEAR(Jan_Dim1+7)=Année_Calendaire,MONTH(Jan_Dim1+7)=1),Jan_Dim1+7,""))</f>
        <v>43107</v>
      </c>
      <c r="J6" s="113"/>
      <c r="K6" s="53"/>
      <c r="L6" s="85">
        <f>IF(DAY(Jan_Dim1)=1,IF(AND(YEAR(Jan_Dim1+1)=Année_Calendaire,MONTH(Jan_Dim1+1)=1),Jan_Dim1+1,""),IF(AND(YEAR(Jan_Dim1+8)=Année_Calendaire,MONTH(Jan_Dim1+8)=1),Jan_Dim1+8,""))</f>
        <v>43108</v>
      </c>
      <c r="M6" s="85">
        <f>IF(DAY(Jan_Dim1)=1,IF(AND(YEAR(Jan_Dim1+2)=Année_Calendaire,MONTH(Jan_Dim1+2)=1),Jan_Dim1+2,""),IF(AND(YEAR(Jan_Dim1+9)=Année_Calendaire,MONTH(Jan_Dim1+9)=1),Jan_Dim1+9,""))</f>
        <v>43109</v>
      </c>
      <c r="N6" s="85">
        <f>IF(DAY(Jan_Dim1)=1,IF(AND(YEAR(Jan_Dim1+3)=Année_Calendaire,MONTH(Jan_Dim1+3)=1),Jan_Dim1+3,""),IF(AND(YEAR(Jan_Dim1+10)=Année_Calendaire,MONTH(Jan_Dim1+10)=1),Jan_Dim1+10,""))</f>
        <v>43110</v>
      </c>
      <c r="O6" s="85">
        <f>IF(DAY(Jan_Dim1)=1,IF(AND(YEAR(Jan_Dim1+4)=Année_Calendaire,MONTH(Jan_Dim1+4)=1),Jan_Dim1+4,""),IF(AND(YEAR(Jan_Dim1+11)=Année_Calendaire,MONTH(Jan_Dim1+11)=1),Jan_Dim1+11,""))</f>
        <v>43111</v>
      </c>
      <c r="P6" s="85">
        <f>IF(DAY(Jan_Dim1)=1,IF(AND(YEAR(Jan_Dim1+5)=Année_Calendaire,MONTH(Jan_Dim1+5)=1),Jan_Dim1+5,""),IF(AND(YEAR(Jan_Dim1+12)=Année_Calendaire,MONTH(Jan_Dim1+12)=1),Jan_Dim1+12,""))</f>
        <v>43112</v>
      </c>
      <c r="Q6" s="85">
        <f>IF(DAY(Jan_Dim1)=1,IF(AND(YEAR(Jan_Dim1+6)=Année_Calendaire,MONTH(Jan_Dim1+6)=1),Jan_Dim1+6,""),IF(AND(YEAR(Jan_Dim1+13)=Année_Calendaire,MONTH(Jan_Dim1+13)=1),Jan_Dim1+13,""))</f>
        <v>43113</v>
      </c>
      <c r="R6" s="85">
        <f>IF(DAY(Jan_Dim1)=1,IF(AND(YEAR(Jan_Dim1+7)=Année_Calendaire,MONTH(Jan_Dim1+7)=1),Jan_Dim1+7,""),IF(AND(YEAR(Jan_Dim1+14)=Année_Calendaire,MONTH(Jan_Dim1+14)=1),Jan_Dim1+14,""))</f>
        <v>43114</v>
      </c>
      <c r="S6" s="113"/>
      <c r="T6" s="53"/>
      <c r="U6" s="85">
        <f>IF(DAY(Jan_Dim1)=1,IF(AND(YEAR(Jan_Dim1+8)=Année_Calendaire,MONTH(Jan_Dim1+8)=1),Jan_Dim1+8,""),IF(AND(YEAR(Jan_Dim1+15)=Année_Calendaire,MONTH(Jan_Dim1+15)=1),Jan_Dim1+15,""))</f>
        <v>43115</v>
      </c>
      <c r="V6" s="85">
        <f>IF(DAY(Jan_Dim1)=1,IF(AND(YEAR(Jan_Dim1+9)=Année_Calendaire,MONTH(Jan_Dim1+9)=1),Jan_Dim1+9,""),IF(AND(YEAR(Jan_Dim1+16)=Année_Calendaire,MONTH(Jan_Dim1+16)=1),Jan_Dim1+16,""))</f>
        <v>43116</v>
      </c>
      <c r="W6" s="85">
        <f>IF(DAY(Jan_Dim1)=1,IF(AND(YEAR(Jan_Dim1+10)=Année_Calendaire,MONTH(Jan_Dim1+10)=1),Jan_Dim1+10,""),IF(AND(YEAR(Jan_Dim1+17)=Année_Calendaire,MONTH(Jan_Dim1+17)=1),Jan_Dim1+17,""))</f>
        <v>43117</v>
      </c>
      <c r="X6" s="85">
        <f>IF(DAY(Jan_Dim1)=1,IF(AND(YEAR(Jan_Dim1+11)=Année_Calendaire,MONTH(Jan_Dim1+11)=1),Jan_Dim1+11,""),IF(AND(YEAR(Jan_Dim1+18)=Année_Calendaire,MONTH(Jan_Dim1+18)=1),Jan_Dim1+18,""))</f>
        <v>43118</v>
      </c>
      <c r="Y6" s="85">
        <f>IF(DAY(Jan_Dim1)=1,IF(AND(YEAR(Jan_Dim1+12)=Année_Calendaire,MONTH(Jan_Dim1+12)=1),Jan_Dim1+12,""),IF(AND(YEAR(Jan_Dim1+19)=Année_Calendaire,MONTH(Jan_Dim1+19)=1),Jan_Dim1+19,""))</f>
        <v>43119</v>
      </c>
      <c r="Z6" s="85">
        <f>IF(DAY(Jan_Dim1)=1,IF(AND(YEAR(Jan_Dim1+13)=Année_Calendaire,MONTH(Jan_Dim1+13)=1),Jan_Dim1+13,""),IF(AND(YEAR(Jan_Dim1+20)=Année_Calendaire,MONTH(Jan_Dim1+20)=1),Jan_Dim1+20,""))</f>
        <v>43120</v>
      </c>
      <c r="AA6" s="85">
        <f>IF(DAY(Jan_Dim1)=1,IF(AND(YEAR(Jan_Dim1+14)=Année_Calendaire,MONTH(Jan_Dim1+14)=1),Jan_Dim1+14,""),IF(AND(YEAR(Jan_Dim1+21)=Année_Calendaire,MONTH(Jan_Dim1+21)=1),Jan_Dim1+21,""))</f>
        <v>43121</v>
      </c>
      <c r="AB6" s="113"/>
      <c r="AC6" s="53"/>
      <c r="AD6" s="85">
        <f>IF(DAY(Jan_Dim1)=1,IF(AND(YEAR(Jan_Dim1+15)=Année_Calendaire,MONTH(Jan_Dim1+15)=1),Jan_Dim1+15,""),IF(AND(YEAR(Jan_Dim1+22)=Année_Calendaire,MONTH(Jan_Dim1+22)=1),Jan_Dim1+22,""))</f>
        <v>43122</v>
      </c>
      <c r="AE6" s="85">
        <f>IF(DAY(Jan_Dim1)=1,IF(AND(YEAR(Jan_Dim1+16)=Année_Calendaire,MONTH(Jan_Dim1+16)=1),Jan_Dim1+16,""),IF(AND(YEAR(Jan_Dim1+23)=Année_Calendaire,MONTH(Jan_Dim1+23)=1),Jan_Dim1+23,""))</f>
        <v>43123</v>
      </c>
      <c r="AF6" s="85">
        <f>IF(DAY(Jan_Dim1)=1,IF(AND(YEAR(Jan_Dim1+17)=Année_Calendaire,MONTH(Jan_Dim1+17)=1),Jan_Dim1+17,""),IF(AND(YEAR(Jan_Dim1+24)=Année_Calendaire,MONTH(Jan_Dim1+24)=1),Jan_Dim1+24,""))</f>
        <v>43124</v>
      </c>
      <c r="AG6" s="85">
        <f>IF(DAY(Jan_Dim1)=1,IF(AND(YEAR(Jan_Dim1+18)=Année_Calendaire,MONTH(Jan_Dim1+18)=1),Jan_Dim1+18,""),IF(AND(YEAR(Jan_Dim1+25)=Année_Calendaire,MONTH(Jan_Dim1+25)=1),Jan_Dim1+25,""))</f>
        <v>43125</v>
      </c>
      <c r="AH6" s="85">
        <f>IF(DAY(Jan_Dim1)=1,IF(AND(YEAR(Jan_Dim1+19)=Année_Calendaire,MONTH(Jan_Dim1+19)=1),Jan_Dim1+19,""),IF(AND(YEAR(Jan_Dim1+26)=Année_Calendaire,MONTH(Jan_Dim1+26)=1),Jan_Dim1+26,""))</f>
        <v>43126</v>
      </c>
      <c r="AI6" s="85">
        <f>IF(DAY(Jan_Dim1)=1,IF(AND(YEAR(Jan_Dim1+20)=Année_Calendaire,MONTH(Jan_Dim1+20)=1),Jan_Dim1+20,""),IF(AND(YEAR(Jan_Dim1+27)=Année_Calendaire,MONTH(Jan_Dim1+27)=1),Jan_Dim1+27,""))</f>
        <v>43127</v>
      </c>
      <c r="AJ6" s="85">
        <f>IF(DAY(Jan_Dim1)=1,IF(AND(YEAR(Jan_Dim1+21)=Année_Calendaire,MONTH(Jan_Dim1+21)=1),Jan_Dim1+21,""),IF(AND(YEAR(Jan_Dim1+28)=Année_Calendaire,MONTH(Jan_Dim1+28)=1),Jan_Dim1+28,""))</f>
        <v>43128</v>
      </c>
      <c r="AK6" s="113"/>
      <c r="AL6" s="53"/>
      <c r="AM6" s="85">
        <f>IF(DAY(Jan_Dim1)=1,IF(AND(YEAR(Jan_Dim1+22)=Année_Calendaire,MONTH(Jan_Dim1+22)=1),Jan_Dim1+22,""),IF(AND(YEAR(Jan_Dim1+29)=Année_Calendaire,MONTH(Jan_Dim1+29)=1),Jan_Dim1+29,""))</f>
        <v>43129</v>
      </c>
      <c r="AN6" s="85">
        <f>IF(DAY(Jan_Dim1)=1,IF(AND(YEAR(Jan_Dim1+23)=Année_Calendaire,MONTH(Jan_Dim1+23)=1),Jan_Dim1+23,""),IF(AND(YEAR(Jan_Dim1+30)=Année_Calendaire,MONTH(Jan_Dim1+30)=1),Jan_Dim1+30,""))</f>
        <v>43130</v>
      </c>
      <c r="AO6" s="85">
        <f>IF(DAY(Jan_Dim1)=1,IF(AND(YEAR(Jan_Dim1+24)=Année_Calendaire,MONTH(Jan_Dim1+24)=1),Jan_Dim1+24,""),IF(AND(YEAR(Jan_Dim1+31)=Année_Calendaire,MONTH(Jan_Dim1+31)=1),Jan_Dim1+31,""))</f>
        <v>43131</v>
      </c>
      <c r="AP6" s="85" t="str">
        <f>IF(DAY(Jan_Dim1)=1,IF(AND(YEAR(Jan_Dim1+25)=Année_Calendaire,MONTH(Jan_Dim1+25)=1),Jan_Dim1+25,""),IF(AND(YEAR(Jan_Dim1+32)=Année_Calendaire,MONTH(Jan_Dim1+32)=1),Jan_Dim1+32,""))</f>
        <v/>
      </c>
      <c r="AQ6" s="85" t="str">
        <f>IF(DAY(Jan_Dim1)=1,IF(AND(YEAR(Jan_Dim1+26)=Année_Calendaire,MONTH(Jan_Dim1+26)=1),Jan_Dim1+26,""),IF(AND(YEAR(Jan_Dim1+33)=Année_Calendaire,MONTH(Jan_Dim1+33)=1),Jan_Dim1+33,""))</f>
        <v/>
      </c>
      <c r="AR6" s="85" t="str">
        <f>IF(DAY(Jan_Dim1)=1,IF(AND(YEAR(Jan_Dim1+27)=Année_Calendaire,MONTH(Jan_Dim1+27)=1),Jan_Dim1+27,""),IF(AND(YEAR(Jan_Dim1+34)=Année_Calendaire,MONTH(Jan_Dim1+34)=1),Jan_Dim1+34,""))</f>
        <v/>
      </c>
      <c r="AS6" s="85" t="str">
        <f>IF(DAY(Jan_Dim1)=1,IF(AND(YEAR(Jan_Dim1+28)=Année_Calendaire,MONTH(Jan_Dim1+28)=1),Jan_Dim1+28,""),IF(AND(YEAR(Jan_Dim1+35)=Année_Calendaire,MONTH(Jan_Dim1+35)=1),Jan_Dim1+35,""))</f>
        <v/>
      </c>
      <c r="AT6" s="113"/>
      <c r="AU6" s="53"/>
      <c r="AV6" s="53" t="str">
        <f>IF(DAY(Jan_Dim1)=1,IF(AND(YEAR(Jan_Dim1+29)=Année_Calendaire,MONTH(Jan_Dim1+29)=1),Jan_Dim1+29,""),IF(AND(YEAR(Jan_Dim1+36)=Année_Calendaire,MONTH(Jan_Dim1+36)=1),Jan_Dim1+36,""))</f>
        <v/>
      </c>
      <c r="AW6" s="53" t="str">
        <f>IF(DAY(Jan_Dim1)=1,IF(AND(YEAR(Jan_Dim1+30)=Année_Calendaire,MONTH(Jan_Dim1+30)=1),Jan_Dim1+30,""),IF(AND(YEAR(Jan_Dim1+37)=Année_Calendaire,MONTH(Jan_Dim1+37)=1),Jan_Dim1+37,""))</f>
        <v/>
      </c>
      <c r="AX6" s="113"/>
      <c r="AY6" s="113"/>
      <c r="AZ6" s="114"/>
      <c r="BA6" s="114"/>
      <c r="BB6" s="31"/>
      <c r="BC6" s="31"/>
      <c r="BD6" s="31"/>
      <c r="BE6" s="31"/>
      <c r="BF6" s="23"/>
    </row>
    <row r="7" spans="1:59" s="5" customFormat="1" ht="15" customHeight="1">
      <c r="A7" s="47" t="s">
        <v>2</v>
      </c>
      <c r="B7" s="47"/>
      <c r="C7" s="48" t="str">
        <f>IF(C6="","",IFERROR(VLOOKUP(B5,DATA!$A$5:$H$9,2,TRUE),0))</f>
        <v>am</v>
      </c>
      <c r="D7" s="48" t="str">
        <f>IF(D6="","",IFERROR(VLOOKUP(B5,DATA!$A$5:$H$9,3,TRUE),0))</f>
        <v>am</v>
      </c>
      <c r="E7" s="48" t="str">
        <f>IF(E6="","",IFERROR(VLOOKUP(B5,DATA!$A$5:$H$9,4,TRUE),0))</f>
        <v>am</v>
      </c>
      <c r="F7" s="48" t="str">
        <f>IF(F6="","",IFERROR(VLOOKUP(B5,DATA!$A$5:$H$9,5,TRUE),0))</f>
        <v>am</v>
      </c>
      <c r="G7" s="48" t="str">
        <f>IF(G6="","",IFERROR(VLOOKUP(B5,DATA!$A$5:$H$9,6,TRUE),0))</f>
        <v>am</v>
      </c>
      <c r="H7" s="48">
        <f>IF(H6="","",IFERROR(VLOOKUP(B5,DATA!$A$5:$H$9,7,TRUE),0))</f>
        <v>0</v>
      </c>
      <c r="I7" s="48">
        <f>IF(I6="","",IFERROR(VLOOKUP(B5,DATA!$A$5:$H$9,8,TRUE),0))</f>
        <v>0</v>
      </c>
      <c r="J7" s="51">
        <f>IF(B5="c1",24,IF((B5="c3"),24,40))</f>
        <v>40</v>
      </c>
      <c r="K7" s="47"/>
      <c r="L7" s="48" t="str">
        <f>IF(L6="","",IFERROR(VLOOKUP(K5,DATA!$A$5:$H$9,2,TRUE),0))</f>
        <v>matin</v>
      </c>
      <c r="M7" s="48" t="str">
        <f>IF(M6="","",IFERROR(VLOOKUP(K5,DATA!$A$5:$H$9,3,TRUE),0))</f>
        <v>matin</v>
      </c>
      <c r="N7" s="48" t="str">
        <f>IF(N6="","",IFERROR(VLOOKUP(K5,DATA!$A$5:$H$9,4,TRUE),0))</f>
        <v>matin</v>
      </c>
      <c r="O7" s="48">
        <f>IF(O6="","",IFERROR(VLOOKUP(K5,DATA!$A$5:$H$9,5,TRUE),0))</f>
        <v>0</v>
      </c>
      <c r="P7" s="48">
        <f>IF(P6="","",IFERROR(VLOOKUP(K5,DATA!$A$5:$H$9,6,TRUE),0))</f>
        <v>0</v>
      </c>
      <c r="Q7" s="48">
        <f>IF(Q6="","",IFERROR(VLOOKUP(K5,DATA!$A$5:$H$9,7,TRUE),0))</f>
        <v>0</v>
      </c>
      <c r="R7" s="48">
        <f>IF(R6="","",IFERROR(VLOOKUP(K5,DATA!$A$5:$H$9,8,TRUE),0))</f>
        <v>0</v>
      </c>
      <c r="S7" s="51">
        <f>IF(K5="c1",24,IF((K5="c3"),24,40))</f>
        <v>24</v>
      </c>
      <c r="T7" s="47"/>
      <c r="U7" s="48" t="str">
        <f>IF(U6="","",IFERROR(VLOOKUP(T5,DATA!$A$5:$H$9,2,TRUE),0))</f>
        <v>nuit</v>
      </c>
      <c r="V7" s="48" t="str">
        <f>IF(V6="","",IFERROR(VLOOKUP(T5,DATA!$A$5:$H$9,3,TRUE),0))</f>
        <v>nuit</v>
      </c>
      <c r="W7" s="48" t="str">
        <f>IF(W6="","",IFERROR(VLOOKUP(T5,DATA!$A$5:$H$9,4,TRUE),0))</f>
        <v>nuit</v>
      </c>
      <c r="X7" s="48" t="str">
        <f>IF(X6="","",IFERROR(VLOOKUP(T5,DATA!$A$5:$H$9,5,TRUE),0))</f>
        <v>nuit</v>
      </c>
      <c r="Y7" s="48" t="str">
        <f>IF(Y6="","",IFERROR(VLOOKUP(T5,DATA!$A$5:$H$9,6,TRUE),0))</f>
        <v>nuit</v>
      </c>
      <c r="Z7" s="48">
        <f>IF(Z6="","",IFERROR(VLOOKUP(T5,DATA!$A$5:$H$9,7,TRUE),0))</f>
        <v>0</v>
      </c>
      <c r="AA7" s="48">
        <f>IF(AA6="","",IFERROR(VLOOKUP(T5,DATA!$A$5:$H$9,8,TRUE),0))</f>
        <v>0</v>
      </c>
      <c r="AB7" s="51">
        <f>IF(T5="c1",24,IF((T5="c3"),24,40))</f>
        <v>40</v>
      </c>
      <c r="AC7" s="47"/>
      <c r="AD7" s="48" t="str">
        <f>IF(AD6="","",IFERROR(VLOOKUP(AC5,DATA!$A$5:$H$9,2,TRUE),0))</f>
        <v>matin</v>
      </c>
      <c r="AE7" s="48">
        <f>IF(AE6="","",IFERROR(VLOOKUP(AC5,DATA!$A$5:$H$9,3,TRUE),0))</f>
        <v>0</v>
      </c>
      <c r="AF7" s="48">
        <f>IF(AF6="","",IFERROR(VLOOKUP(AC5,DATA!$A$5:$H$9,4,TRUE),0))</f>
        <v>0</v>
      </c>
      <c r="AG7" s="48" t="str">
        <f>IF(AG6="","",IFERROR(VLOOKUP(AC5,DATA!$A$5:$H$9,5,TRUE),0))</f>
        <v>matin</v>
      </c>
      <c r="AH7" s="48" t="str">
        <f>IF(AH6="","",IFERROR(VLOOKUP(AC5,DATA!$A$5:$H$9,6,TRUE),0))</f>
        <v>matin</v>
      </c>
      <c r="AI7" s="48">
        <f>IF(AI6="","",IFERROR(VLOOKUP(AC5,DATA!$A$5:$H$9,7,TRUE),0))</f>
        <v>0</v>
      </c>
      <c r="AJ7" s="48">
        <f>IF(AJ6="","",IFERROR(VLOOKUP(AC5,DATA!$A$5:$H$9,8,TRUE),0))</f>
        <v>0</v>
      </c>
      <c r="AK7" s="51">
        <f>IF(AC5="c1",24,IF((AC5="c3"),24,40))</f>
        <v>24</v>
      </c>
      <c r="AL7" s="47"/>
      <c r="AM7" s="48" t="str">
        <f>IF(AM6="","",IFERROR(VLOOKUP(AL5,DATA!$A$5:$H$9,2,TRUE),0))</f>
        <v>am</v>
      </c>
      <c r="AN7" s="48" t="str">
        <f>IF(AN6="","",IFERROR(VLOOKUP(AL5,DATA!$A$5:$H$9,3,TRUE),0))</f>
        <v>am</v>
      </c>
      <c r="AO7" s="48" t="str">
        <f>IF(AO6="","",IFERROR(VLOOKUP(AL5,DATA!$A$5:$H$9,4,TRUE),0))</f>
        <v>am</v>
      </c>
      <c r="AP7" s="48" t="str">
        <f>IF(AP6="","",IFERROR(VLOOKUP(AL5,DATA!$A$5:$H$9,5,TRUE),0))</f>
        <v/>
      </c>
      <c r="AQ7" s="48" t="str">
        <f>IF(AQ6="","",IFERROR(VLOOKUP(AL5,DATA!$A$5:$H$9,6,TRUE),0))</f>
        <v/>
      </c>
      <c r="AR7" s="48" t="str">
        <f>IF(AR6="","",IFERROR(VLOOKUP(AL5,DATA!$A$5:$H$9,7,TRUE),0))</f>
        <v/>
      </c>
      <c r="AS7" s="48" t="str">
        <f>IF(AS6="","",IFERROR(VLOOKUP(AL5,DATA!$A$5:$H$9,8,TRUE),0))</f>
        <v/>
      </c>
      <c r="AT7" s="51">
        <f>IF(AL5="c1",24,IF((AL5="c3"),24,40))</f>
        <v>40</v>
      </c>
      <c r="AU7" s="47"/>
      <c r="AV7" s="48" t="str">
        <f>IF(AV6="","",IFERROR(VLOOKUP(AU5,DATA!$A$5:$H$9,2,TRUE),0))</f>
        <v/>
      </c>
      <c r="AW7" s="48" t="str">
        <f>IF(AW6="","",IFERROR(VLOOKUP(AU5,DATA!$A$5:$H$9,3,TRUE),0))</f>
        <v/>
      </c>
      <c r="AX7" s="51">
        <f>IF(AP5="c1",24,IF((AP5="c3"),24,40))</f>
        <v>40</v>
      </c>
      <c r="AY7" s="49"/>
      <c r="AZ7" s="39"/>
      <c r="BA7" s="39"/>
      <c r="BB7" s="39"/>
      <c r="BC7" s="39"/>
      <c r="BD7" s="39"/>
      <c r="BE7" s="39"/>
      <c r="BF7" s="29"/>
    </row>
    <row r="8" spans="1:59" s="27" customFormat="1" ht="15" customHeight="1">
      <c r="A8" s="50" t="s">
        <v>12</v>
      </c>
      <c r="B8" s="50"/>
      <c r="C8" s="51">
        <f>IF(C7="Matin",1,IF(C7="AM",1,0))</f>
        <v>1</v>
      </c>
      <c r="D8" s="51">
        <f t="shared" ref="D8" si="0">IF(D7="Matin",1,IF(D7="AM",1,0))</f>
        <v>1</v>
      </c>
      <c r="E8" s="51">
        <f t="shared" ref="E8" si="1">IF(E7="Matin",1,IF(E7="AM",1,0))</f>
        <v>1</v>
      </c>
      <c r="F8" s="51">
        <f t="shared" ref="F8" si="2">IF(F7="Matin",1,IF(F7="AM",1,0))</f>
        <v>1</v>
      </c>
      <c r="G8" s="51">
        <f t="shared" ref="G8" si="3">IF(G7="Matin",1,IF(G7="AM",1,0))</f>
        <v>1</v>
      </c>
      <c r="H8" s="51">
        <f t="shared" ref="H8" si="4">IF(H7="Matin",1,IF(H7="AM",1,0))</f>
        <v>0</v>
      </c>
      <c r="I8" s="51">
        <f t="shared" ref="I8" si="5">IF(I7="Matin",1,IF(I7="AM",1,0))</f>
        <v>0</v>
      </c>
      <c r="J8" s="51">
        <f>SUM(C8:I8)</f>
        <v>5</v>
      </c>
      <c r="K8" s="50"/>
      <c r="L8" s="51">
        <f t="shared" ref="L8:R8" si="6">IF(L7="Matin",1,IF(L7="AM",1,0))</f>
        <v>1</v>
      </c>
      <c r="M8" s="51">
        <f t="shared" si="6"/>
        <v>1</v>
      </c>
      <c r="N8" s="51">
        <f t="shared" si="6"/>
        <v>1</v>
      </c>
      <c r="O8" s="51">
        <f t="shared" si="6"/>
        <v>0</v>
      </c>
      <c r="P8" s="51">
        <f t="shared" si="6"/>
        <v>0</v>
      </c>
      <c r="Q8" s="51">
        <f t="shared" si="6"/>
        <v>0</v>
      </c>
      <c r="R8" s="51">
        <f t="shared" si="6"/>
        <v>0</v>
      </c>
      <c r="S8" s="51">
        <f>SUM(L8:R8)</f>
        <v>3</v>
      </c>
      <c r="T8" s="50"/>
      <c r="U8" s="51">
        <f t="shared" ref="U8:AA8" si="7">IF(U7="Matin",1,IF(U7="AM",1,0))</f>
        <v>0</v>
      </c>
      <c r="V8" s="51">
        <f t="shared" si="7"/>
        <v>0</v>
      </c>
      <c r="W8" s="51">
        <f t="shared" si="7"/>
        <v>0</v>
      </c>
      <c r="X8" s="51">
        <f t="shared" si="7"/>
        <v>0</v>
      </c>
      <c r="Y8" s="51">
        <f t="shared" si="7"/>
        <v>0</v>
      </c>
      <c r="Z8" s="51">
        <f t="shared" si="7"/>
        <v>0</v>
      </c>
      <c r="AA8" s="51">
        <f t="shared" si="7"/>
        <v>0</v>
      </c>
      <c r="AB8" s="51">
        <f>SUM(U8:AA8)</f>
        <v>0</v>
      </c>
      <c r="AC8" s="50"/>
      <c r="AD8" s="51">
        <f t="shared" ref="AD8" si="8">IF(AD7="Matin",1,IF(AD7="AM",1,0))</f>
        <v>1</v>
      </c>
      <c r="AE8" s="51">
        <f t="shared" ref="AE8" si="9">IF(AE7="Matin",1,IF(AE7="AM",1,0))</f>
        <v>0</v>
      </c>
      <c r="AF8" s="51">
        <f t="shared" ref="AF8" si="10">IF(AF7="Matin",1,IF(AF7="AM",1,0))</f>
        <v>0</v>
      </c>
      <c r="AG8" s="51">
        <f t="shared" ref="AG8" si="11">IF(AG7="Matin",1,IF(AG7="AM",1,0))</f>
        <v>1</v>
      </c>
      <c r="AH8" s="51">
        <f t="shared" ref="AH8" si="12">IF(AH7="Matin",1,IF(AH7="AM",1,0))</f>
        <v>1</v>
      </c>
      <c r="AI8" s="51">
        <f t="shared" ref="AI8" si="13">IF(AI7="Matin",1,IF(AI7="AM",1,0))</f>
        <v>0</v>
      </c>
      <c r="AJ8" s="51">
        <f t="shared" ref="AJ8" si="14">IF(AJ7="Matin",1,IF(AJ7="AM",1,0))</f>
        <v>0</v>
      </c>
      <c r="AK8" s="51">
        <f>SUM(AD8:AJ8)</f>
        <v>3</v>
      </c>
      <c r="AL8" s="50"/>
      <c r="AM8" s="51">
        <f t="shared" ref="AM8" si="15">IF(AM7="Matin",1,IF(AM7="AM",1,0))</f>
        <v>1</v>
      </c>
      <c r="AN8" s="51">
        <f t="shared" ref="AN8" si="16">IF(AN7="Matin",1,IF(AN7="AM",1,0))</f>
        <v>1</v>
      </c>
      <c r="AO8" s="51">
        <f t="shared" ref="AO8" si="17">IF(AO7="Matin",1,IF(AO7="AM",1,0))</f>
        <v>1</v>
      </c>
      <c r="AP8" s="51">
        <f t="shared" ref="AP8" si="18">IF(AP7="Matin",1,IF(AP7="AM",1,0))</f>
        <v>0</v>
      </c>
      <c r="AQ8" s="51">
        <f t="shared" ref="AQ8" si="19">IF(AQ7="Matin",1,IF(AQ7="AM",1,0))</f>
        <v>0</v>
      </c>
      <c r="AR8" s="51">
        <f t="shared" ref="AR8" si="20">IF(AR7="Matin",1,IF(AR7="AM",1,0))</f>
        <v>0</v>
      </c>
      <c r="AS8" s="51">
        <f t="shared" ref="AS8" si="21">IF(AS7="Matin",1,IF(AS7="AM",1,0))</f>
        <v>0</v>
      </c>
      <c r="AT8" s="51">
        <f>SUM(AM8:AS8)</f>
        <v>3</v>
      </c>
      <c r="AU8" s="50"/>
      <c r="AV8" s="51">
        <f t="shared" ref="AV8" si="22">IF(AV7="Matin",1,IF(AV7="AM",1,0))</f>
        <v>0</v>
      </c>
      <c r="AW8" s="51">
        <f t="shared" ref="AW8" si="23">IF(AW7="Matin",1,IF(AW7="AM",1,0))</f>
        <v>0</v>
      </c>
      <c r="AX8" s="51">
        <f>SUM(AV8:AW8)</f>
        <v>0</v>
      </c>
      <c r="AY8" s="51">
        <f>J8+S8+AB8+AK8+AT8+AX8</f>
        <v>14</v>
      </c>
      <c r="AZ8" s="25"/>
      <c r="BA8" s="25"/>
      <c r="BB8" s="25"/>
      <c r="BC8" s="25"/>
      <c r="BD8" s="25"/>
      <c r="BE8" s="25"/>
      <c r="BF8" s="25"/>
      <c r="BG8" s="28"/>
    </row>
    <row r="9" spans="1:59" s="27" customFormat="1" ht="15" customHeight="1">
      <c r="A9" s="47" t="s">
        <v>4</v>
      </c>
      <c r="B9" s="47"/>
      <c r="C9" s="48">
        <f>IF(C10&gt;=1,1,0)</f>
        <v>1</v>
      </c>
      <c r="D9" s="48">
        <f>IF(D10&gt;=1,1,0)</f>
        <v>1</v>
      </c>
      <c r="E9" s="48">
        <f t="shared" ref="E9:I9" si="24">IF(E10&gt;=1,1,0)</f>
        <v>1</v>
      </c>
      <c r="F9" s="48">
        <f t="shared" si="24"/>
        <v>1</v>
      </c>
      <c r="G9" s="48">
        <f t="shared" si="24"/>
        <v>1</v>
      </c>
      <c r="H9" s="48">
        <f t="shared" si="24"/>
        <v>0</v>
      </c>
      <c r="I9" s="48">
        <f t="shared" si="24"/>
        <v>0</v>
      </c>
      <c r="J9" s="51">
        <f t="shared" ref="J9:J19" si="25">SUM(C9:I9)</f>
        <v>5</v>
      </c>
      <c r="K9" s="47"/>
      <c r="L9" s="48">
        <f>IF(L10&gt;=1,1,0)</f>
        <v>1</v>
      </c>
      <c r="M9" s="48">
        <f t="shared" ref="M9" si="26">IF(M10&gt;=1,1,0)</f>
        <v>1</v>
      </c>
      <c r="N9" s="48">
        <f t="shared" ref="N9" si="27">IF(N10&gt;=1,1,0)</f>
        <v>1</v>
      </c>
      <c r="O9" s="48">
        <f t="shared" ref="O9" si="28">IF(O10&gt;=1,1,0)</f>
        <v>0</v>
      </c>
      <c r="P9" s="48">
        <f t="shared" ref="P9" si="29">IF(P10&gt;=1,1,0)</f>
        <v>0</v>
      </c>
      <c r="Q9" s="48">
        <f t="shared" ref="Q9" si="30">IF(Q10&gt;=1,1,0)</f>
        <v>0</v>
      </c>
      <c r="R9" s="48">
        <f t="shared" ref="R9" si="31">IF(R10&gt;=1,1,0)</f>
        <v>0</v>
      </c>
      <c r="S9" s="51">
        <f>SUM(L9:R9)</f>
        <v>3</v>
      </c>
      <c r="T9" s="47"/>
      <c r="U9" s="48">
        <f>IF(U10&gt;=1,1,0)</f>
        <v>1</v>
      </c>
      <c r="V9" s="48">
        <f t="shared" ref="V9:AA9" si="32">IF(V10&gt;=1,1,0)</f>
        <v>1</v>
      </c>
      <c r="W9" s="48">
        <f t="shared" si="32"/>
        <v>1</v>
      </c>
      <c r="X9" s="48">
        <f t="shared" si="32"/>
        <v>1</v>
      </c>
      <c r="Y9" s="48">
        <f t="shared" si="32"/>
        <v>1</v>
      </c>
      <c r="Z9" s="48">
        <f t="shared" si="32"/>
        <v>0</v>
      </c>
      <c r="AA9" s="48">
        <f t="shared" si="32"/>
        <v>0</v>
      </c>
      <c r="AB9" s="51">
        <f>SUM(U9:AA9)</f>
        <v>5</v>
      </c>
      <c r="AC9" s="47"/>
      <c r="AD9" s="48">
        <f>IF(AD10&gt;=1,1,0)</f>
        <v>1</v>
      </c>
      <c r="AE9" s="48">
        <f t="shared" ref="AE9" si="33">IF(AE10&gt;=1,1,0)</f>
        <v>0</v>
      </c>
      <c r="AF9" s="48">
        <f t="shared" ref="AF9" si="34">IF(AF10&gt;=1,1,0)</f>
        <v>0</v>
      </c>
      <c r="AG9" s="48">
        <f t="shared" ref="AG9" si="35">IF(AG10&gt;=1,1,0)</f>
        <v>1</v>
      </c>
      <c r="AH9" s="48">
        <f t="shared" ref="AH9" si="36">IF(AH10&gt;=1,1,0)</f>
        <v>1</v>
      </c>
      <c r="AI9" s="48">
        <f t="shared" ref="AI9" si="37">IF(AI10&gt;=1,1,0)</f>
        <v>0</v>
      </c>
      <c r="AJ9" s="48">
        <f t="shared" ref="AJ9" si="38">IF(AJ10&gt;=1,1,0)</f>
        <v>0</v>
      </c>
      <c r="AK9" s="51">
        <f t="shared" ref="AK9:AK14" si="39">SUM(AD9:AJ9)</f>
        <v>3</v>
      </c>
      <c r="AL9" s="47"/>
      <c r="AM9" s="48">
        <f>IF(AM10&gt;=1,1,0)</f>
        <v>1</v>
      </c>
      <c r="AN9" s="48">
        <f t="shared" ref="AN9" si="40">IF(AN10&gt;=1,1,0)</f>
        <v>1</v>
      </c>
      <c r="AO9" s="48">
        <f t="shared" ref="AO9" si="41">IF(AO10&gt;=1,1,0)</f>
        <v>1</v>
      </c>
      <c r="AP9" s="48">
        <f t="shared" ref="AP9" si="42">IF(AP10&gt;=1,1,0)</f>
        <v>0</v>
      </c>
      <c r="AQ9" s="48">
        <f t="shared" ref="AQ9" si="43">IF(AQ10&gt;=1,1,0)</f>
        <v>0</v>
      </c>
      <c r="AR9" s="48">
        <f t="shared" ref="AR9" si="44">IF(AR10&gt;=1,1,0)</f>
        <v>0</v>
      </c>
      <c r="AS9" s="48">
        <f t="shared" ref="AS9" si="45">IF(AS10&gt;=1,1,0)</f>
        <v>0</v>
      </c>
      <c r="AT9" s="51">
        <f t="shared" ref="AT9:AT14" si="46">SUM(AM9:AS9)</f>
        <v>3</v>
      </c>
      <c r="AU9" s="47"/>
      <c r="AV9" s="48">
        <f>IF(AV10&gt;=1,1,0)</f>
        <v>0</v>
      </c>
      <c r="AW9" s="48">
        <f t="shared" ref="AW9" si="47">IF(AW10&gt;=1,1,0)</f>
        <v>0</v>
      </c>
      <c r="AX9" s="51">
        <f>SUM(AV9:AW9)</f>
        <v>0</v>
      </c>
      <c r="AY9" s="48">
        <f t="shared" ref="AY9:AY18" si="48">J9+S9+AB9+AK9+AT9+AX9</f>
        <v>19</v>
      </c>
      <c r="AZ9" s="39"/>
      <c r="BA9" s="39"/>
      <c r="BB9" s="39"/>
      <c r="BC9" s="39"/>
      <c r="BD9" s="39"/>
      <c r="BE9" s="39"/>
      <c r="BF9" s="29"/>
    </row>
    <row r="10" spans="1:59" s="27" customFormat="1" ht="15" customHeight="1">
      <c r="A10" s="50" t="s">
        <v>3</v>
      </c>
      <c r="B10" s="50"/>
      <c r="C10" s="51">
        <f>IF(C7="Matin",8,IF(C7="AM",8,IF(C7="nuit",8,0)))</f>
        <v>8</v>
      </c>
      <c r="D10" s="51">
        <f t="shared" ref="D10:I10" si="49">IF(D7="Matin",8,IF(D7="AM",8,IF(D7="nuit",8,0)))</f>
        <v>8</v>
      </c>
      <c r="E10" s="51">
        <f t="shared" si="49"/>
        <v>8</v>
      </c>
      <c r="F10" s="51">
        <f t="shared" si="49"/>
        <v>8</v>
      </c>
      <c r="G10" s="51">
        <f t="shared" si="49"/>
        <v>8</v>
      </c>
      <c r="H10" s="51">
        <f t="shared" si="49"/>
        <v>0</v>
      </c>
      <c r="I10" s="51">
        <f t="shared" si="49"/>
        <v>0</v>
      </c>
      <c r="J10" s="51">
        <f t="shared" si="25"/>
        <v>40</v>
      </c>
      <c r="K10" s="50"/>
      <c r="L10" s="51">
        <f>IF(L7="Matin",8,IF(L7="AM",8,IF(L7="nuit",8,0)))</f>
        <v>8</v>
      </c>
      <c r="M10" s="51">
        <f t="shared" ref="M10:R10" si="50">IF(M7="Matin",8,IF(M7="AM",8,IF(M7="nuit",8,0)))</f>
        <v>8</v>
      </c>
      <c r="N10" s="51">
        <f t="shared" si="50"/>
        <v>8</v>
      </c>
      <c r="O10" s="51">
        <f t="shared" si="50"/>
        <v>0</v>
      </c>
      <c r="P10" s="51">
        <f t="shared" si="50"/>
        <v>0</v>
      </c>
      <c r="Q10" s="51">
        <f t="shared" si="50"/>
        <v>0</v>
      </c>
      <c r="R10" s="51">
        <f t="shared" si="50"/>
        <v>0</v>
      </c>
      <c r="S10" s="51">
        <f t="shared" ref="S10:S14" si="51">SUM(L10:R10)</f>
        <v>24</v>
      </c>
      <c r="T10" s="50"/>
      <c r="U10" s="51">
        <f>IF(U7="Matin",8,IF(U7="AM",8,IF(U7="nuit",8,0)))</f>
        <v>8</v>
      </c>
      <c r="V10" s="51">
        <f t="shared" ref="V10:AA10" si="52">IF(V7="Matin",8,IF(V7="AM",8,IF(V7="nuit",8,0)))</f>
        <v>8</v>
      </c>
      <c r="W10" s="51">
        <f t="shared" si="52"/>
        <v>8</v>
      </c>
      <c r="X10" s="51">
        <f t="shared" si="52"/>
        <v>8</v>
      </c>
      <c r="Y10" s="51">
        <f t="shared" si="52"/>
        <v>8</v>
      </c>
      <c r="Z10" s="51">
        <f t="shared" si="52"/>
        <v>0</v>
      </c>
      <c r="AA10" s="51">
        <f t="shared" si="52"/>
        <v>0</v>
      </c>
      <c r="AB10" s="51">
        <f>SUM(U10:AA10)</f>
        <v>40</v>
      </c>
      <c r="AC10" s="50"/>
      <c r="AD10" s="51">
        <f>IF(AD7="Matin",8,IF(AD7="AM",8,IF(AD7="nuit",8,0)))</f>
        <v>8</v>
      </c>
      <c r="AE10" s="51">
        <f t="shared" ref="AE10:AJ10" si="53">IF(AE7="Matin",8,IF(AE7="AM",8,IF(AE7="nuit",8,0)))</f>
        <v>0</v>
      </c>
      <c r="AF10" s="51">
        <f t="shared" si="53"/>
        <v>0</v>
      </c>
      <c r="AG10" s="51">
        <f t="shared" si="53"/>
        <v>8</v>
      </c>
      <c r="AH10" s="51">
        <f t="shared" si="53"/>
        <v>8</v>
      </c>
      <c r="AI10" s="51">
        <f t="shared" si="53"/>
        <v>0</v>
      </c>
      <c r="AJ10" s="51">
        <f t="shared" si="53"/>
        <v>0</v>
      </c>
      <c r="AK10" s="51">
        <f>SUM(AD10:AJ10)</f>
        <v>24</v>
      </c>
      <c r="AL10" s="50"/>
      <c r="AM10" s="51">
        <f>IF(AM7="Matin",8,IF(AM7="AM",8,IF(AM7="nuit",8,0)))</f>
        <v>8</v>
      </c>
      <c r="AN10" s="51">
        <f t="shared" ref="AN10:AS10" si="54">IF(AN7="Matin",8,IF(AN7="AM",8,IF(AN7="nuit",8,0)))</f>
        <v>8</v>
      </c>
      <c r="AO10" s="51">
        <f t="shared" si="54"/>
        <v>8</v>
      </c>
      <c r="AP10" s="51">
        <f t="shared" si="54"/>
        <v>0</v>
      </c>
      <c r="AQ10" s="51">
        <f t="shared" si="54"/>
        <v>0</v>
      </c>
      <c r="AR10" s="51">
        <f t="shared" si="54"/>
        <v>0</v>
      </c>
      <c r="AS10" s="51">
        <f t="shared" si="54"/>
        <v>0</v>
      </c>
      <c r="AT10" s="51">
        <f>SUM(AM10:AS10)</f>
        <v>24</v>
      </c>
      <c r="AU10" s="50"/>
      <c r="AV10" s="51">
        <f>IF(AV7="Matin",8,IF(AV7="AM",8,IF(AV7="nuit",8,0)))</f>
        <v>0</v>
      </c>
      <c r="AW10" s="51">
        <f t="shared" ref="AW10" si="55">IF(AW7="Matin",8,IF(AW7="AM",8,IF(AW7="nuit",8,0)))</f>
        <v>0</v>
      </c>
      <c r="AX10" s="51">
        <f>SUM(AV10:AW10)</f>
        <v>0</v>
      </c>
      <c r="AY10" s="51">
        <f t="shared" si="48"/>
        <v>152</v>
      </c>
      <c r="AZ10" s="25"/>
      <c r="BA10" s="25"/>
      <c r="BB10" s="25"/>
      <c r="BC10" s="25"/>
      <c r="BD10" s="25"/>
      <c r="BE10" s="25"/>
      <c r="BF10" s="25"/>
      <c r="BG10" s="28"/>
    </row>
    <row r="11" spans="1:59" s="5" customFormat="1" ht="15" customHeight="1">
      <c r="A11" s="47" t="s">
        <v>13</v>
      </c>
      <c r="B11" s="47"/>
      <c r="C11" s="48"/>
      <c r="D11" s="48"/>
      <c r="E11" s="48"/>
      <c r="F11" s="48"/>
      <c r="G11" s="48"/>
      <c r="H11" s="48"/>
      <c r="I11" s="48"/>
      <c r="J11" s="51">
        <f>MAX(MIN(DATA!$D$22-DATA!$C$22,Travail!J10-Travail!J7-I10),0)</f>
        <v>0</v>
      </c>
      <c r="K11" s="47"/>
      <c r="L11" s="48"/>
      <c r="M11" s="48"/>
      <c r="N11" s="48"/>
      <c r="O11" s="48"/>
      <c r="P11" s="48"/>
      <c r="Q11" s="48"/>
      <c r="R11" s="48"/>
      <c r="S11" s="51">
        <f>MAX(MIN(DATA!$D$22-DATA!$C$22,Travail!S10-Travail!S7-R10),0)</f>
        <v>0</v>
      </c>
      <c r="T11" s="47"/>
      <c r="U11" s="48"/>
      <c r="V11" s="48"/>
      <c r="W11" s="48"/>
      <c r="X11" s="48"/>
      <c r="Y11" s="48"/>
      <c r="Z11" s="48"/>
      <c r="AA11" s="48"/>
      <c r="AB11" s="51">
        <f>MAX(MIN(DATA!$D$22-DATA!$C$22,Travail!AB10-Travail!AB7-AA10),0)</f>
        <v>0</v>
      </c>
      <c r="AC11" s="47"/>
      <c r="AD11" s="48"/>
      <c r="AE11" s="48"/>
      <c r="AF11" s="48"/>
      <c r="AG11" s="48"/>
      <c r="AH11" s="48"/>
      <c r="AI11" s="48"/>
      <c r="AJ11" s="48"/>
      <c r="AK11" s="51">
        <f>MAX(MIN(DATA!$D$22-DATA!$C$22,Travail!AK10-Travail!AK7-AJ10),0)</f>
        <v>0</v>
      </c>
      <c r="AL11" s="47"/>
      <c r="AM11" s="48"/>
      <c r="AN11" s="48"/>
      <c r="AO11" s="48"/>
      <c r="AP11" s="48"/>
      <c r="AQ11" s="48"/>
      <c r="AR11" s="48"/>
      <c r="AS11" s="48"/>
      <c r="AT11" s="51">
        <f>MAX(MIN(DATA!$D$22-DATA!$C$22,Travail!AT10-Travail!AT7-AS10),0)</f>
        <v>0</v>
      </c>
      <c r="AU11" s="47"/>
      <c r="AV11" s="48"/>
      <c r="AW11" s="48"/>
      <c r="AX11" s="51">
        <f>MAX(MIN(DATA!$D$22-DATA!$C$22,Travail!AX10-Travail!AX7),0)</f>
        <v>0</v>
      </c>
      <c r="AY11" s="49">
        <f t="shared" si="48"/>
        <v>0</v>
      </c>
      <c r="AZ11" s="39"/>
      <c r="BA11" s="39"/>
      <c r="BB11" s="39"/>
      <c r="BC11" s="39"/>
      <c r="BD11" s="39"/>
      <c r="BE11" s="39"/>
      <c r="BF11" s="29"/>
    </row>
    <row r="12" spans="1:59" s="27" customFormat="1" ht="15" customHeight="1">
      <c r="A12" s="50" t="s">
        <v>6</v>
      </c>
      <c r="B12" s="50"/>
      <c r="C12" s="51"/>
      <c r="D12" s="51"/>
      <c r="E12" s="51"/>
      <c r="F12" s="51"/>
      <c r="G12" s="51"/>
      <c r="H12" s="51"/>
      <c r="I12" s="51"/>
      <c r="J12" s="51">
        <f>MAX(MIN(DATA!$E$22-DATA!$D$22,Travail!J10-Travail!J7-Travail!J11-I10),0)</f>
        <v>0</v>
      </c>
      <c r="K12" s="50"/>
      <c r="L12" s="51"/>
      <c r="M12" s="51"/>
      <c r="N12" s="51"/>
      <c r="O12" s="51"/>
      <c r="P12" s="51"/>
      <c r="Q12" s="51"/>
      <c r="R12" s="51"/>
      <c r="S12" s="51">
        <f>MAX(MIN(DATA!$E$22-DATA!$D$22,Travail!S10-Travail!S7-Travail!S11-R10),0)</f>
        <v>0</v>
      </c>
      <c r="T12" s="50"/>
      <c r="U12" s="51"/>
      <c r="V12" s="51"/>
      <c r="W12" s="51"/>
      <c r="X12" s="51"/>
      <c r="Y12" s="51"/>
      <c r="Z12" s="51"/>
      <c r="AA12" s="51"/>
      <c r="AB12" s="51">
        <f>MAX(MIN(DATA!$E$22-DATA!$D$22,Travail!AB10-Travail!AB7-Travail!AB11-AA10),0)</f>
        <v>0</v>
      </c>
      <c r="AC12" s="50"/>
      <c r="AD12" s="51"/>
      <c r="AE12" s="51"/>
      <c r="AF12" s="51"/>
      <c r="AG12" s="51"/>
      <c r="AH12" s="51"/>
      <c r="AI12" s="51"/>
      <c r="AJ12" s="51"/>
      <c r="AK12" s="51">
        <f>MAX(MIN(DATA!$E$22-DATA!$D$22,Travail!AK10-Travail!AK7-Travail!AK11-AJ10),0)</f>
        <v>0</v>
      </c>
      <c r="AL12" s="50"/>
      <c r="AM12" s="51"/>
      <c r="AN12" s="51"/>
      <c r="AO12" s="51"/>
      <c r="AP12" s="51"/>
      <c r="AQ12" s="51"/>
      <c r="AR12" s="51"/>
      <c r="AS12" s="51"/>
      <c r="AT12" s="51">
        <f>MAX(MIN(DATA!$E$22-DATA!$D$22,Travail!AT10-Travail!AT7-Travail!AT11-AS10),0)</f>
        <v>0</v>
      </c>
      <c r="AU12" s="50"/>
      <c r="AV12" s="51"/>
      <c r="AW12" s="51"/>
      <c r="AX12" s="51">
        <f>MAX(MIN(DATA!$E$22-DATA!$D$22,Travail!AX10-Travail!AX7-Travail!AX11),0)</f>
        <v>0</v>
      </c>
      <c r="AY12" s="51">
        <f t="shared" si="48"/>
        <v>0</v>
      </c>
      <c r="AZ12" s="25"/>
      <c r="BA12" s="25"/>
      <c r="BB12" s="25"/>
      <c r="BC12" s="25"/>
      <c r="BD12" s="25"/>
      <c r="BE12" s="25"/>
      <c r="BF12" s="25"/>
      <c r="BG12" s="28"/>
    </row>
    <row r="13" spans="1:59" s="5" customFormat="1" ht="15" customHeight="1">
      <c r="A13" s="47" t="s">
        <v>5</v>
      </c>
      <c r="B13" s="47"/>
      <c r="C13" s="48"/>
      <c r="D13" s="48"/>
      <c r="E13" s="48"/>
      <c r="F13" s="48"/>
      <c r="G13" s="48"/>
      <c r="H13" s="48"/>
      <c r="I13" s="48"/>
      <c r="J13" s="51">
        <f>MAX(J10-J7-J12-J11-J14,0)</f>
        <v>0</v>
      </c>
      <c r="K13" s="47"/>
      <c r="L13" s="48"/>
      <c r="M13" s="48"/>
      <c r="N13" s="48"/>
      <c r="O13" s="48"/>
      <c r="P13" s="48"/>
      <c r="Q13" s="48"/>
      <c r="R13" s="48"/>
      <c r="S13" s="51">
        <f>MAX(S10-S7-S12-S11-S14,0)</f>
        <v>0</v>
      </c>
      <c r="T13" s="47"/>
      <c r="U13" s="48"/>
      <c r="V13" s="48"/>
      <c r="W13" s="48"/>
      <c r="X13" s="48"/>
      <c r="Y13" s="48"/>
      <c r="Z13" s="48"/>
      <c r="AA13" s="48"/>
      <c r="AB13" s="51">
        <f>MAX(AB10-AB7-AB12-AB11-AB14,0)</f>
        <v>0</v>
      </c>
      <c r="AC13" s="47"/>
      <c r="AD13" s="48"/>
      <c r="AE13" s="48"/>
      <c r="AF13" s="48"/>
      <c r="AG13" s="48"/>
      <c r="AH13" s="48"/>
      <c r="AI13" s="48"/>
      <c r="AJ13" s="48"/>
      <c r="AK13" s="51">
        <f>MAX(AK10-AK7-AK12-AK11-AK14,0)</f>
        <v>0</v>
      </c>
      <c r="AL13" s="47"/>
      <c r="AM13" s="48"/>
      <c r="AN13" s="48"/>
      <c r="AO13" s="48"/>
      <c r="AP13" s="48"/>
      <c r="AQ13" s="48"/>
      <c r="AR13" s="48"/>
      <c r="AS13" s="48"/>
      <c r="AT13" s="51">
        <f>MAX(AT10-AT7-AT12-AT11-AT14,0)</f>
        <v>0</v>
      </c>
      <c r="AU13" s="47"/>
      <c r="AV13" s="48"/>
      <c r="AW13" s="48"/>
      <c r="AX13" s="97">
        <f>MAX(AX10-AX7-AX12-AX11,0)</f>
        <v>0</v>
      </c>
      <c r="AY13" s="49">
        <f t="shared" si="48"/>
        <v>0</v>
      </c>
      <c r="AZ13" s="39"/>
      <c r="BA13" s="39"/>
      <c r="BB13" s="39"/>
      <c r="BC13" s="39"/>
      <c r="BD13" s="39"/>
      <c r="BE13" s="39"/>
      <c r="BF13" s="29"/>
    </row>
    <row r="14" spans="1:59" s="27" customFormat="1" ht="15" customHeight="1">
      <c r="A14" s="50" t="s">
        <v>7</v>
      </c>
      <c r="B14" s="50"/>
      <c r="C14" s="51">
        <f t="shared" ref="C14:I14" si="56">IF(C5="Dim",C10,IF(C20="ferie",C10,0))</f>
        <v>0</v>
      </c>
      <c r="D14" s="51">
        <f t="shared" si="56"/>
        <v>0</v>
      </c>
      <c r="E14" s="51">
        <f t="shared" si="56"/>
        <v>0</v>
      </c>
      <c r="F14" s="51">
        <f t="shared" si="56"/>
        <v>0</v>
      </c>
      <c r="G14" s="51">
        <f t="shared" si="56"/>
        <v>0</v>
      </c>
      <c r="H14" s="51">
        <f t="shared" si="56"/>
        <v>0</v>
      </c>
      <c r="I14" s="51">
        <f t="shared" si="56"/>
        <v>0</v>
      </c>
      <c r="J14" s="51">
        <f t="shared" si="25"/>
        <v>0</v>
      </c>
      <c r="K14" s="50"/>
      <c r="L14" s="51">
        <f>IF(L5="Dim",L10,IF(L20="ferie",L10,0))</f>
        <v>0</v>
      </c>
      <c r="M14" s="51">
        <f t="shared" ref="M14:R14" si="57">IF(M5="Dim",M10,IF(M20="ferie",M10,0))</f>
        <v>0</v>
      </c>
      <c r="N14" s="51">
        <f t="shared" si="57"/>
        <v>0</v>
      </c>
      <c r="O14" s="51">
        <f t="shared" si="57"/>
        <v>0</v>
      </c>
      <c r="P14" s="51">
        <f t="shared" si="57"/>
        <v>0</v>
      </c>
      <c r="Q14" s="51">
        <f t="shared" si="57"/>
        <v>0</v>
      </c>
      <c r="R14" s="51">
        <f t="shared" si="57"/>
        <v>0</v>
      </c>
      <c r="S14" s="51">
        <f t="shared" si="51"/>
        <v>0</v>
      </c>
      <c r="T14" s="50"/>
      <c r="U14" s="51">
        <f>IF(U5="Dim",U10,IF(U20="ferie",U10,0))</f>
        <v>0</v>
      </c>
      <c r="V14" s="51">
        <f t="shared" ref="V14:AA14" si="58">IF(V5="Dim",V10,IF(V20="ferie",V10,0))</f>
        <v>0</v>
      </c>
      <c r="W14" s="51">
        <f t="shared" si="58"/>
        <v>0</v>
      </c>
      <c r="X14" s="51">
        <f t="shared" si="58"/>
        <v>0</v>
      </c>
      <c r="Y14" s="51">
        <f t="shared" si="58"/>
        <v>0</v>
      </c>
      <c r="Z14" s="51">
        <f t="shared" si="58"/>
        <v>0</v>
      </c>
      <c r="AA14" s="51">
        <f t="shared" si="58"/>
        <v>0</v>
      </c>
      <c r="AB14" s="51">
        <f t="shared" ref="AB14" si="59">SUM(U14:AA14)</f>
        <v>0</v>
      </c>
      <c r="AC14" s="50"/>
      <c r="AD14" s="51">
        <f>IF(AD5="Dim",AD10,IF(AD20="ferie",AD10,0))</f>
        <v>0</v>
      </c>
      <c r="AE14" s="51">
        <f t="shared" ref="AE14:AJ14" si="60">IF(AE5="Dim",AE10,IF(AE20="ferie",AE10,0))</f>
        <v>0</v>
      </c>
      <c r="AF14" s="51">
        <f t="shared" si="60"/>
        <v>0</v>
      </c>
      <c r="AG14" s="51">
        <f t="shared" si="60"/>
        <v>0</v>
      </c>
      <c r="AH14" s="51">
        <f t="shared" si="60"/>
        <v>0</v>
      </c>
      <c r="AI14" s="51">
        <f t="shared" si="60"/>
        <v>0</v>
      </c>
      <c r="AJ14" s="51">
        <f t="shared" si="60"/>
        <v>0</v>
      </c>
      <c r="AK14" s="51">
        <f t="shared" si="39"/>
        <v>0</v>
      </c>
      <c r="AL14" s="50"/>
      <c r="AM14" s="51">
        <f>IF(AM5="Dim",AM10,IF(AM20="ferie",AM10,0))</f>
        <v>0</v>
      </c>
      <c r="AN14" s="51">
        <f t="shared" ref="AN14:AW14" si="61">IF(AN5="Dim",AN10,IF(AN20="ferie",AN10,0))</f>
        <v>0</v>
      </c>
      <c r="AO14" s="51">
        <f t="shared" si="61"/>
        <v>0</v>
      </c>
      <c r="AP14" s="51">
        <f t="shared" si="61"/>
        <v>0</v>
      </c>
      <c r="AQ14" s="51">
        <f t="shared" si="61"/>
        <v>0</v>
      </c>
      <c r="AR14" s="51">
        <f t="shared" si="61"/>
        <v>0</v>
      </c>
      <c r="AS14" s="51">
        <f t="shared" si="61"/>
        <v>0</v>
      </c>
      <c r="AT14" s="51">
        <f t="shared" si="46"/>
        <v>0</v>
      </c>
      <c r="AU14" s="50"/>
      <c r="AV14" s="51">
        <f>IF(AV5="Dim",AV10,IF(AV20="ferie",AV10,0))</f>
        <v>0</v>
      </c>
      <c r="AW14" s="51">
        <f t="shared" si="61"/>
        <v>0</v>
      </c>
      <c r="AX14" s="51">
        <f t="shared" ref="AX14:AX19" si="62">SUM(AV14:AW14)</f>
        <v>0</v>
      </c>
      <c r="AY14" s="51">
        <f t="shared" si="48"/>
        <v>0</v>
      </c>
      <c r="AZ14" s="25"/>
      <c r="BA14" s="25"/>
      <c r="BB14" s="25"/>
      <c r="BC14" s="25"/>
      <c r="BD14" s="25"/>
      <c r="BE14" s="25"/>
      <c r="BF14" s="25"/>
      <c r="BG14" s="28"/>
    </row>
    <row r="15" spans="1:59" s="27" customFormat="1" ht="15" customHeight="1">
      <c r="A15" s="47" t="s">
        <v>8</v>
      </c>
      <c r="B15" s="47"/>
      <c r="C15" s="48"/>
      <c r="D15" s="48"/>
      <c r="E15" s="48"/>
      <c r="F15" s="48"/>
      <c r="G15" s="48"/>
      <c r="H15" s="48"/>
      <c r="I15" s="48"/>
      <c r="J15" s="51">
        <f t="shared" si="25"/>
        <v>0</v>
      </c>
      <c r="K15" s="47"/>
      <c r="L15" s="48"/>
      <c r="M15" s="48"/>
      <c r="N15" s="48"/>
      <c r="O15" s="48"/>
      <c r="P15" s="48"/>
      <c r="Q15" s="48"/>
      <c r="R15" s="48"/>
      <c r="S15" s="51">
        <f t="shared" ref="S15:S19" si="63">SUM(L15:R15)</f>
        <v>0</v>
      </c>
      <c r="T15" s="47"/>
      <c r="U15" s="48"/>
      <c r="V15" s="48"/>
      <c r="W15" s="48"/>
      <c r="X15" s="48"/>
      <c r="Y15" s="48"/>
      <c r="Z15" s="48"/>
      <c r="AA15" s="48"/>
      <c r="AB15" s="51">
        <f t="shared" ref="AB15:AB19" si="64">SUM(U15:AA15)</f>
        <v>0</v>
      </c>
      <c r="AC15" s="47"/>
      <c r="AD15" s="48"/>
      <c r="AE15" s="48"/>
      <c r="AF15" s="48"/>
      <c r="AG15" s="48"/>
      <c r="AH15" s="48"/>
      <c r="AI15" s="48"/>
      <c r="AJ15" s="48"/>
      <c r="AK15" s="51">
        <f t="shared" ref="AK15:AK19" si="65">SUM(AD15:AJ15)</f>
        <v>0</v>
      </c>
      <c r="AL15" s="47"/>
      <c r="AM15" s="48"/>
      <c r="AN15" s="48"/>
      <c r="AO15" s="48"/>
      <c r="AP15" s="48"/>
      <c r="AQ15" s="48"/>
      <c r="AR15" s="48"/>
      <c r="AS15" s="48"/>
      <c r="AT15" s="51">
        <f t="shared" ref="AT15:AT19" si="66">SUM(AM15:AS15)</f>
        <v>0</v>
      </c>
      <c r="AU15" s="47"/>
      <c r="AV15" s="48"/>
      <c r="AW15" s="48"/>
      <c r="AX15" s="51">
        <f t="shared" si="62"/>
        <v>0</v>
      </c>
      <c r="AY15" s="48">
        <f t="shared" si="48"/>
        <v>0</v>
      </c>
      <c r="AZ15" s="39"/>
      <c r="BA15" s="39"/>
      <c r="BB15" s="39"/>
      <c r="BC15" s="39"/>
      <c r="BD15" s="39"/>
      <c r="BE15" s="39"/>
      <c r="BF15" s="29"/>
    </row>
    <row r="16" spans="1:59" s="27" customFormat="1" ht="15" customHeight="1">
      <c r="A16" s="50" t="s">
        <v>9</v>
      </c>
      <c r="B16" s="50"/>
      <c r="C16" s="51"/>
      <c r="D16" s="51"/>
      <c r="E16" s="51"/>
      <c r="F16" s="51"/>
      <c r="G16" s="51"/>
      <c r="H16" s="51"/>
      <c r="I16" s="51"/>
      <c r="J16" s="51">
        <f t="shared" si="25"/>
        <v>0</v>
      </c>
      <c r="K16" s="50"/>
      <c r="L16" s="51"/>
      <c r="M16" s="51"/>
      <c r="N16" s="51"/>
      <c r="O16" s="51"/>
      <c r="P16" s="51"/>
      <c r="Q16" s="51"/>
      <c r="R16" s="51"/>
      <c r="S16" s="51">
        <f t="shared" si="63"/>
        <v>0</v>
      </c>
      <c r="T16" s="50"/>
      <c r="U16" s="51"/>
      <c r="V16" s="51"/>
      <c r="W16" s="51"/>
      <c r="X16" s="51"/>
      <c r="Y16" s="51"/>
      <c r="Z16" s="51"/>
      <c r="AA16" s="51"/>
      <c r="AB16" s="51">
        <f t="shared" si="64"/>
        <v>0</v>
      </c>
      <c r="AC16" s="50"/>
      <c r="AD16" s="51"/>
      <c r="AE16" s="51"/>
      <c r="AF16" s="51"/>
      <c r="AG16" s="51"/>
      <c r="AH16" s="51"/>
      <c r="AI16" s="51"/>
      <c r="AJ16" s="51"/>
      <c r="AK16" s="51">
        <f t="shared" si="65"/>
        <v>0</v>
      </c>
      <c r="AL16" s="50"/>
      <c r="AM16" s="51"/>
      <c r="AN16" s="51"/>
      <c r="AO16" s="51"/>
      <c r="AP16" s="51"/>
      <c r="AQ16" s="51"/>
      <c r="AR16" s="51"/>
      <c r="AS16" s="51"/>
      <c r="AT16" s="51">
        <f t="shared" si="66"/>
        <v>0</v>
      </c>
      <c r="AU16" s="50"/>
      <c r="AV16" s="51"/>
      <c r="AW16" s="51"/>
      <c r="AX16" s="51">
        <f t="shared" si="62"/>
        <v>0</v>
      </c>
      <c r="AY16" s="51">
        <f t="shared" si="48"/>
        <v>0</v>
      </c>
      <c r="AZ16" s="25"/>
      <c r="BA16" s="25"/>
      <c r="BB16" s="25"/>
      <c r="BC16" s="25"/>
      <c r="BD16" s="25"/>
      <c r="BE16" s="25"/>
      <c r="BF16" s="25"/>
      <c r="BG16" s="28"/>
    </row>
    <row r="17" spans="1:59" s="5" customFormat="1" ht="15" customHeight="1">
      <c r="A17" s="47" t="s">
        <v>11</v>
      </c>
      <c r="B17" s="47"/>
      <c r="C17" s="48"/>
      <c r="D17" s="48"/>
      <c r="E17" s="48"/>
      <c r="F17" s="48"/>
      <c r="G17" s="48"/>
      <c r="H17" s="48"/>
      <c r="I17" s="48"/>
      <c r="J17" s="51">
        <f t="shared" si="25"/>
        <v>0</v>
      </c>
      <c r="K17" s="47"/>
      <c r="L17" s="48"/>
      <c r="M17" s="48"/>
      <c r="N17" s="48"/>
      <c r="O17" s="48"/>
      <c r="P17" s="48"/>
      <c r="Q17" s="48"/>
      <c r="R17" s="48"/>
      <c r="S17" s="51">
        <f t="shared" si="63"/>
        <v>0</v>
      </c>
      <c r="T17" s="47"/>
      <c r="U17" s="48"/>
      <c r="V17" s="48"/>
      <c r="W17" s="48"/>
      <c r="X17" s="48"/>
      <c r="Y17" s="48"/>
      <c r="Z17" s="48"/>
      <c r="AA17" s="48"/>
      <c r="AB17" s="51">
        <f t="shared" si="64"/>
        <v>0</v>
      </c>
      <c r="AC17" s="47"/>
      <c r="AD17" s="48"/>
      <c r="AE17" s="48"/>
      <c r="AF17" s="48"/>
      <c r="AG17" s="48"/>
      <c r="AH17" s="48"/>
      <c r="AI17" s="48"/>
      <c r="AJ17" s="48"/>
      <c r="AK17" s="51">
        <f t="shared" si="65"/>
        <v>0</v>
      </c>
      <c r="AL17" s="47"/>
      <c r="AM17" s="48"/>
      <c r="AN17" s="48"/>
      <c r="AO17" s="48"/>
      <c r="AP17" s="48"/>
      <c r="AQ17" s="48"/>
      <c r="AR17" s="48"/>
      <c r="AS17" s="48"/>
      <c r="AT17" s="51">
        <f t="shared" si="66"/>
        <v>0</v>
      </c>
      <c r="AU17" s="47"/>
      <c r="AV17" s="48"/>
      <c r="AW17" s="48"/>
      <c r="AX17" s="51">
        <f t="shared" si="62"/>
        <v>0</v>
      </c>
      <c r="AY17" s="49">
        <f t="shared" si="48"/>
        <v>0</v>
      </c>
      <c r="AZ17" s="39"/>
      <c r="BA17" s="39"/>
      <c r="BB17" s="39"/>
      <c r="BC17" s="39"/>
      <c r="BD17" s="39"/>
      <c r="BE17" s="39"/>
      <c r="BF17" s="29"/>
    </row>
    <row r="18" spans="1:59" s="27" customFormat="1" ht="15" customHeight="1">
      <c r="A18" s="50" t="s">
        <v>10</v>
      </c>
      <c r="B18" s="50"/>
      <c r="C18" s="51"/>
      <c r="D18" s="51"/>
      <c r="E18" s="51"/>
      <c r="F18" s="51"/>
      <c r="G18" s="51"/>
      <c r="H18" s="51"/>
      <c r="I18" s="51"/>
      <c r="J18" s="51">
        <f t="shared" si="25"/>
        <v>0</v>
      </c>
      <c r="K18" s="50"/>
      <c r="L18" s="51"/>
      <c r="M18" s="51"/>
      <c r="N18" s="51"/>
      <c r="O18" s="51"/>
      <c r="P18" s="51"/>
      <c r="Q18" s="51"/>
      <c r="R18" s="51"/>
      <c r="S18" s="51">
        <f t="shared" si="63"/>
        <v>0</v>
      </c>
      <c r="T18" s="50"/>
      <c r="U18" s="51"/>
      <c r="V18" s="51"/>
      <c r="W18" s="51"/>
      <c r="X18" s="51"/>
      <c r="Y18" s="51"/>
      <c r="Z18" s="51"/>
      <c r="AA18" s="51"/>
      <c r="AB18" s="51">
        <f t="shared" si="64"/>
        <v>0</v>
      </c>
      <c r="AC18" s="50"/>
      <c r="AD18" s="51"/>
      <c r="AE18" s="51"/>
      <c r="AF18" s="51"/>
      <c r="AG18" s="51"/>
      <c r="AH18" s="51"/>
      <c r="AI18" s="51"/>
      <c r="AJ18" s="51"/>
      <c r="AK18" s="51">
        <f t="shared" si="65"/>
        <v>0</v>
      </c>
      <c r="AL18" s="50"/>
      <c r="AM18" s="51"/>
      <c r="AN18" s="51"/>
      <c r="AO18" s="51"/>
      <c r="AP18" s="51"/>
      <c r="AQ18" s="51"/>
      <c r="AR18" s="51"/>
      <c r="AS18" s="51"/>
      <c r="AT18" s="51">
        <f t="shared" si="66"/>
        <v>0</v>
      </c>
      <c r="AU18" s="50"/>
      <c r="AV18" s="51"/>
      <c r="AW18" s="51"/>
      <c r="AX18" s="51">
        <f t="shared" si="62"/>
        <v>0</v>
      </c>
      <c r="AY18" s="51">
        <f t="shared" si="48"/>
        <v>0</v>
      </c>
      <c r="AZ18" s="25"/>
      <c r="BA18" s="25"/>
      <c r="BB18" s="25"/>
      <c r="BC18" s="25"/>
      <c r="BD18" s="25"/>
      <c r="BE18" s="25"/>
      <c r="BF18" s="25"/>
      <c r="BG18" s="28"/>
    </row>
    <row r="19" spans="1:59" s="5" customFormat="1" ht="15" customHeight="1">
      <c r="A19" s="47" t="s">
        <v>37</v>
      </c>
      <c r="B19" s="47"/>
      <c r="C19" s="48">
        <f>IF(C7="nuit",C10*0.02,0)</f>
        <v>0</v>
      </c>
      <c r="D19" s="48">
        <f>IF(D7="nuit",D10*0.02,0)</f>
        <v>0</v>
      </c>
      <c r="E19" s="48">
        <f t="shared" ref="E19:I19" si="67">IF(E7="nuit",E10*0.02,0)</f>
        <v>0</v>
      </c>
      <c r="F19" s="48">
        <f t="shared" si="67"/>
        <v>0</v>
      </c>
      <c r="G19" s="48">
        <f>IF(G7="nuit",G10*0.02,0)</f>
        <v>0</v>
      </c>
      <c r="H19" s="48">
        <f t="shared" si="67"/>
        <v>0</v>
      </c>
      <c r="I19" s="48">
        <f t="shared" si="67"/>
        <v>0</v>
      </c>
      <c r="J19" s="51">
        <f t="shared" si="25"/>
        <v>0</v>
      </c>
      <c r="K19" s="47"/>
      <c r="L19" s="48">
        <f>IF(L7="nuit",L10*0.02,0)</f>
        <v>0</v>
      </c>
      <c r="M19" s="48">
        <f>IF(M7="nuit",M10*0.02,0)</f>
        <v>0</v>
      </c>
      <c r="N19" s="48">
        <f t="shared" ref="N19:R19" si="68">IF(N7="nuit",N10*0.02,0)</f>
        <v>0</v>
      </c>
      <c r="O19" s="48">
        <f t="shared" si="68"/>
        <v>0</v>
      </c>
      <c r="P19" s="48">
        <f>IF(P7="nuit",P10*0.02,0)</f>
        <v>0</v>
      </c>
      <c r="Q19" s="48">
        <f t="shared" si="68"/>
        <v>0</v>
      </c>
      <c r="R19" s="48">
        <f t="shared" si="68"/>
        <v>0</v>
      </c>
      <c r="S19" s="51">
        <f t="shared" si="63"/>
        <v>0</v>
      </c>
      <c r="T19" s="47"/>
      <c r="U19" s="48">
        <f>IF(U7="nuit",U10*0.02,0)</f>
        <v>0.16</v>
      </c>
      <c r="V19" s="48">
        <f>IF(V7="nuit",V10*0.02,0)</f>
        <v>0.16</v>
      </c>
      <c r="W19" s="48">
        <f t="shared" ref="W19:AA19" si="69">IF(W7="nuit",W10*0.02,0)</f>
        <v>0.16</v>
      </c>
      <c r="X19" s="48">
        <f t="shared" si="69"/>
        <v>0.16</v>
      </c>
      <c r="Y19" s="48">
        <f>IF(Y7="nuit",Y10*0.02,0)</f>
        <v>0.16</v>
      </c>
      <c r="Z19" s="48">
        <f t="shared" si="69"/>
        <v>0</v>
      </c>
      <c r="AA19" s="48">
        <f t="shared" si="69"/>
        <v>0</v>
      </c>
      <c r="AB19" s="51">
        <f t="shared" si="64"/>
        <v>0.8</v>
      </c>
      <c r="AC19" s="47"/>
      <c r="AD19" s="48">
        <f>IF(AD7="nuit",AD10*0.02,0)</f>
        <v>0</v>
      </c>
      <c r="AE19" s="48">
        <f>IF(AE7="nuit",AE10*0.02,0)</f>
        <v>0</v>
      </c>
      <c r="AF19" s="48">
        <f t="shared" ref="AF19:AJ19" si="70">IF(AF7="nuit",AF10*0.02,0)</f>
        <v>0</v>
      </c>
      <c r="AG19" s="48">
        <f t="shared" si="70"/>
        <v>0</v>
      </c>
      <c r="AH19" s="48">
        <f>IF(AH7="nuit",AH10*0.02,0)</f>
        <v>0</v>
      </c>
      <c r="AI19" s="48">
        <f t="shared" si="70"/>
        <v>0</v>
      </c>
      <c r="AJ19" s="48">
        <f t="shared" si="70"/>
        <v>0</v>
      </c>
      <c r="AK19" s="51">
        <f t="shared" si="65"/>
        <v>0</v>
      </c>
      <c r="AL19" s="47"/>
      <c r="AM19" s="48">
        <f>IF(AM7="nuit",AM10*0.02,0)</f>
        <v>0</v>
      </c>
      <c r="AN19" s="48">
        <f>IF(AN7="nuit",AN10*0.02,0)</f>
        <v>0</v>
      </c>
      <c r="AO19" s="48">
        <f t="shared" ref="AO19:AS19" si="71">IF(AO7="nuit",AO10*0.02,0)</f>
        <v>0</v>
      </c>
      <c r="AP19" s="48">
        <f t="shared" si="71"/>
        <v>0</v>
      </c>
      <c r="AQ19" s="48">
        <f>IF(AQ7="nuit",AQ10*0.02,0)</f>
        <v>0</v>
      </c>
      <c r="AR19" s="48">
        <f t="shared" si="71"/>
        <v>0</v>
      </c>
      <c r="AS19" s="48">
        <f t="shared" si="71"/>
        <v>0</v>
      </c>
      <c r="AT19" s="51">
        <f t="shared" si="66"/>
        <v>0</v>
      </c>
      <c r="AU19" s="47"/>
      <c r="AV19" s="48">
        <f>IF(AV7="nuit",AV10*0.02,0)</f>
        <v>0</v>
      </c>
      <c r="AW19" s="48">
        <f>IF(AW7="nuit",AW10*0.02,0)</f>
        <v>0</v>
      </c>
      <c r="AX19" s="51">
        <f t="shared" si="62"/>
        <v>0</v>
      </c>
      <c r="AY19" s="49">
        <f>J19+S19+AB19+AK19+AT19+AX19</f>
        <v>0.8</v>
      </c>
      <c r="AZ19" s="39"/>
      <c r="BA19" s="39"/>
      <c r="BB19" s="39"/>
      <c r="BC19" s="39"/>
      <c r="BD19" s="39"/>
      <c r="BE19" s="39"/>
      <c r="BF19" s="29"/>
    </row>
    <row r="20" spans="1:59" s="27" customFormat="1" ht="15" customHeight="1">
      <c r="A20" s="50" t="s">
        <v>24</v>
      </c>
      <c r="B20" s="50"/>
      <c r="C20" s="51"/>
      <c r="D20" s="51"/>
      <c r="E20" s="51"/>
      <c r="F20" s="51"/>
      <c r="G20" s="51"/>
      <c r="H20" s="51"/>
      <c r="I20" s="51"/>
      <c r="J20" s="51"/>
      <c r="K20" s="50"/>
      <c r="L20" s="51"/>
      <c r="M20" s="51"/>
      <c r="N20" s="51"/>
      <c r="O20" s="51"/>
      <c r="P20" s="51"/>
      <c r="Q20" s="51"/>
      <c r="R20" s="51"/>
      <c r="S20" s="51"/>
      <c r="T20" s="50"/>
      <c r="U20" s="51"/>
      <c r="V20" s="51"/>
      <c r="W20" s="51"/>
      <c r="X20" s="51"/>
      <c r="Y20" s="51"/>
      <c r="Z20" s="51"/>
      <c r="AA20" s="51"/>
      <c r="AB20" s="51"/>
      <c r="AC20" s="50"/>
      <c r="AD20" s="51"/>
      <c r="AE20" s="51"/>
      <c r="AF20" s="51"/>
      <c r="AG20" s="51"/>
      <c r="AH20" s="51"/>
      <c r="AI20" s="51"/>
      <c r="AJ20" s="51"/>
      <c r="AK20" s="51"/>
      <c r="AL20" s="50"/>
      <c r="AM20" s="51"/>
      <c r="AN20" s="51"/>
      <c r="AO20" s="51"/>
      <c r="AP20" s="51"/>
      <c r="AQ20" s="51"/>
      <c r="AR20" s="51"/>
      <c r="AS20" s="51"/>
      <c r="AT20" s="51"/>
      <c r="AU20" s="50"/>
      <c r="AV20" s="51"/>
      <c r="AW20" s="51"/>
      <c r="AX20" s="51"/>
      <c r="AY20" s="51"/>
      <c r="AZ20" s="25"/>
      <c r="BA20" s="25"/>
      <c r="BB20" s="25"/>
      <c r="BC20" s="25"/>
      <c r="BD20" s="25"/>
      <c r="BE20" s="25"/>
      <c r="BF20" s="25"/>
      <c r="BG20" s="28"/>
    </row>
    <row r="21" spans="1:59" s="99" customFormat="1" ht="15" customHeight="1">
      <c r="A21" s="104" t="s">
        <v>112</v>
      </c>
      <c r="B21" s="105"/>
      <c r="C21" s="106">
        <f>IF(C6="","",IFERROR(VLOOKUP(B5,[2]DATA!$A$12:$H$16,2,TRUE),0))</f>
        <v>1</v>
      </c>
      <c r="D21" s="106">
        <f>IF(D6="","",IFERROR(VLOOKUP(B5,[2]DATA!$A$12:$H$16,3,TRUE),0))</f>
        <v>1</v>
      </c>
      <c r="E21" s="106">
        <f>IF(E6="","",IFERROR(VLOOKUP(B5,[2]DATA!$A$12:$H$16,4,TRUE),0))</f>
        <v>1</v>
      </c>
      <c r="F21" s="106">
        <f>IF(F6="","",IFERROR(VLOOKUP(B5,[2]DATA!$A$12:$H$16,5,TRUE),0))</f>
        <v>1</v>
      </c>
      <c r="G21" s="106">
        <f>IF(G6="","",IFERROR(VLOOKUP(B5,[2]DATA!$A$12:$H$16,6,TRUE),0))</f>
        <v>1</v>
      </c>
      <c r="H21" s="106"/>
      <c r="I21" s="106"/>
      <c r="J21" s="106">
        <f>SUM(C21:G21)</f>
        <v>5</v>
      </c>
      <c r="K21" s="106"/>
      <c r="L21" s="106">
        <f>IF(L6="","",IFERROR(VLOOKUP(K5,[2]DATA!$A$12:$H$16,2,TRUE),0))</f>
        <v>1</v>
      </c>
      <c r="M21" s="106">
        <f>IF(M6="","",IFERROR(VLOOKUP(K5,[2]DATA!$A$12:$H$16,3,TRUE),0))</f>
        <v>1</v>
      </c>
      <c r="N21" s="106">
        <f>IF(N6="","",IFERROR(VLOOKUP(K5,[2]DATA!$A$12:$H$16,4,TRUE),0))</f>
        <v>1</v>
      </c>
      <c r="O21" s="106">
        <f>IF(O6="","",IFERROR(VLOOKUP(K5,[2]DATA!$A$12:$H$16,5,TRUE),0))</f>
        <v>0</v>
      </c>
      <c r="P21" s="106">
        <f>IF(P6="","",IFERROR(VLOOKUP(K5,[2]DATA!$A$12:$H$16,6,TRUE),0))</f>
        <v>0</v>
      </c>
      <c r="Q21" s="106"/>
      <c r="R21" s="106"/>
      <c r="S21" s="106">
        <f>SUM(L21:P21)</f>
        <v>3</v>
      </c>
      <c r="T21" s="106"/>
      <c r="U21" s="106">
        <f>IF(U6="","",IFERROR(VLOOKUP(T5,[2]DATA!$A$12:$H$16,2,TRUE),0))</f>
        <v>1</v>
      </c>
      <c r="V21" s="106">
        <f>IF(V6="","",IFERROR(VLOOKUP(T5,[2]DATA!$A$12:$H$16,3,TRUE),0))</f>
        <v>1</v>
      </c>
      <c r="W21" s="106">
        <f>IF(W6="","",IFERROR(VLOOKUP(T5,[2]DATA!$A$12:$H$16,4,TRUE),0))</f>
        <v>1</v>
      </c>
      <c r="X21" s="106">
        <f>IF(X6="","",IFERROR(VLOOKUP(T5,[2]DATA!$A$12:$H$16,5,TRUE),0))</f>
        <v>1</v>
      </c>
      <c r="Y21" s="106">
        <f>IF(Y6="","",IFERROR(VLOOKUP(T5,[2]DATA!$A$12:$H$16,6,TRUE),0))</f>
        <v>1</v>
      </c>
      <c r="Z21" s="106"/>
      <c r="AA21" s="106"/>
      <c r="AB21" s="106">
        <f>SUM(U21:Y21)</f>
        <v>5</v>
      </c>
      <c r="AC21" s="106"/>
      <c r="AD21" s="106">
        <f>IF(AD6="","",IFERROR(VLOOKUP(AC5,[2]DATA!$A$12:$H$16,2,TRUE),0))</f>
        <v>1</v>
      </c>
      <c r="AE21" s="106">
        <f>IF(AE6="","",IFERROR(VLOOKUP(AC5,[2]DATA!$A$12:$H$16,3,TRUE),0))</f>
        <v>0</v>
      </c>
      <c r="AF21" s="106">
        <f>IF(AF6="","",IFERROR(VLOOKUP(AC5,[2]DATA!$A$12:$H$16,4,TRUE),0))</f>
        <v>0</v>
      </c>
      <c r="AG21" s="106">
        <f>IF(AG6="","",IFERROR(VLOOKUP(AC5,[2]DATA!$A$12:$H$16,5,TRUE),0))</f>
        <v>1</v>
      </c>
      <c r="AH21" s="106">
        <f>IF(AH6="","",IFERROR(VLOOKUP(AC5,[2]DATA!$A$12:$H$16,6,TRUE),0))</f>
        <v>1</v>
      </c>
      <c r="AI21" s="106"/>
      <c r="AJ21" s="106"/>
      <c r="AK21" s="106">
        <f>SUM(AD21:AH21)</f>
        <v>3</v>
      </c>
      <c r="AL21" s="106"/>
      <c r="AM21" s="106">
        <f>IF(AM6="","",IFERROR(VLOOKUP(AL5,[2]DATA!$A$12:$H$16,2,TRUE),0))</f>
        <v>1</v>
      </c>
      <c r="AN21" s="106">
        <f>IF(AN6="","",IFERROR(VLOOKUP(AL5,[2]DATA!$A$12:$H$16,3,TRUE),0))</f>
        <v>1</v>
      </c>
      <c r="AO21" s="106">
        <f>IF(AO6="","",IFERROR(VLOOKUP(AL5,[2]DATA!$A$12:$H$16,4,TRUE),0))</f>
        <v>1</v>
      </c>
      <c r="AP21" s="106" t="str">
        <f>IF(AP6="","",IFERROR(VLOOKUP(AL5,[2]DATA!$A$12:$H$16,5,TRUE),0))</f>
        <v/>
      </c>
      <c r="AQ21" s="106" t="str">
        <f>IF(AQ6="","",IFERROR(VLOOKUP(AL5,[2]DATA!$A$12:$H$16,6,TRUE),0))</f>
        <v/>
      </c>
      <c r="AR21" s="106"/>
      <c r="AS21" s="106"/>
      <c r="AT21" s="106">
        <f>SUM(AM21:AQ21)</f>
        <v>3</v>
      </c>
      <c r="AU21" s="106"/>
      <c r="AV21" s="106" t="str">
        <f>IF(AV6="","",IFERROR(VLOOKUP(AU5,[2]DATA!$A$12:$H$16,2,TRUE),0))</f>
        <v/>
      </c>
      <c r="AW21" s="106" t="str">
        <f>IF(AW6="","",IFERROR(VLOOKUP(AU5,[2]DATA!$A$12:$H$16,3,TRUE),0))</f>
        <v/>
      </c>
      <c r="AX21" s="106">
        <f>SUM(AV21:AW21)</f>
        <v>0</v>
      </c>
      <c r="AY21" s="107"/>
      <c r="AZ21" s="34"/>
      <c r="BA21" s="34"/>
      <c r="BB21" s="34"/>
      <c r="BC21" s="34"/>
      <c r="BD21" s="34"/>
      <c r="BE21" s="34"/>
      <c r="BF21" s="98"/>
    </row>
    <row r="22" spans="1:59" s="99" customFormat="1" ht="15" customHeight="1">
      <c r="A22" s="108" t="s">
        <v>113</v>
      </c>
      <c r="B22" s="109"/>
      <c r="C22" s="53"/>
      <c r="D22" s="53"/>
      <c r="E22" s="53"/>
      <c r="F22" s="53"/>
      <c r="G22" s="53"/>
      <c r="H22" s="53"/>
      <c r="I22" s="53"/>
      <c r="J22" s="53">
        <f>J9-J21</f>
        <v>0</v>
      </c>
      <c r="K22" s="53"/>
      <c r="L22" s="53"/>
      <c r="M22" s="53"/>
      <c r="N22" s="53"/>
      <c r="O22" s="53"/>
      <c r="P22" s="53"/>
      <c r="Q22" s="53"/>
      <c r="R22" s="53"/>
      <c r="S22" s="53">
        <f>S9-S21</f>
        <v>0</v>
      </c>
      <c r="T22" s="53"/>
      <c r="U22" s="53"/>
      <c r="V22" s="53"/>
      <c r="W22" s="53"/>
      <c r="X22" s="53"/>
      <c r="Y22" s="53"/>
      <c r="Z22" s="53"/>
      <c r="AA22" s="53"/>
      <c r="AB22" s="53">
        <f>AB9-AB21</f>
        <v>0</v>
      </c>
      <c r="AC22" s="53"/>
      <c r="AD22" s="53"/>
      <c r="AE22" s="53"/>
      <c r="AF22" s="53"/>
      <c r="AG22" s="53"/>
      <c r="AH22" s="53"/>
      <c r="AI22" s="53"/>
      <c r="AJ22" s="53"/>
      <c r="AK22" s="53">
        <f>AK9-AK21</f>
        <v>0</v>
      </c>
      <c r="AL22" s="53"/>
      <c r="AM22" s="53"/>
      <c r="AN22" s="53"/>
      <c r="AO22" s="53"/>
      <c r="AP22" s="53"/>
      <c r="AQ22" s="53"/>
      <c r="AR22" s="53"/>
      <c r="AS22" s="53"/>
      <c r="AT22" s="53">
        <f>AT9-AT21</f>
        <v>0</v>
      </c>
      <c r="AU22" s="53"/>
      <c r="AV22" s="53"/>
      <c r="AW22" s="53"/>
      <c r="AX22" s="53">
        <f>AX9-AX21</f>
        <v>0</v>
      </c>
      <c r="AY22" s="110">
        <f>AT22+AK22+AB22+S22+J22</f>
        <v>0</v>
      </c>
      <c r="AZ22" s="34"/>
      <c r="BA22" s="34"/>
      <c r="BB22" s="34"/>
      <c r="BC22" s="34"/>
      <c r="BD22" s="34"/>
      <c r="BE22" s="34"/>
      <c r="BF22" s="98"/>
    </row>
    <row r="23" spans="1:59" s="5" customFormat="1" ht="27">
      <c r="A23" s="16"/>
      <c r="B23" s="16"/>
      <c r="C23" s="101" t="s">
        <v>1</v>
      </c>
      <c r="D23" s="101"/>
      <c r="E23" s="101"/>
      <c r="F23" s="101"/>
      <c r="G23" s="101"/>
      <c r="H23" s="112">
        <f>Année_Calendaire</f>
        <v>2018</v>
      </c>
      <c r="I23" s="112"/>
      <c r="J23" s="94"/>
      <c r="K23" s="43"/>
      <c r="L23" s="102"/>
      <c r="M23" s="102"/>
      <c r="N23" s="102"/>
      <c r="O23" s="102"/>
      <c r="P23" s="102"/>
      <c r="Q23" s="102"/>
      <c r="R23" s="102"/>
      <c r="S23" s="36"/>
      <c r="T23" s="43"/>
      <c r="U23" s="101" t="s">
        <v>1</v>
      </c>
      <c r="V23" s="101"/>
      <c r="W23" s="101"/>
      <c r="X23" s="101"/>
      <c r="Y23" s="101"/>
      <c r="Z23" s="112">
        <f>Année_Calendaire</f>
        <v>2018</v>
      </c>
      <c r="AA23" s="112"/>
      <c r="AB23" s="36"/>
      <c r="AC23" s="43"/>
      <c r="AD23" s="102"/>
      <c r="AE23" s="102"/>
      <c r="AF23" s="102"/>
      <c r="AG23" s="102"/>
      <c r="AH23" s="102"/>
      <c r="AI23" s="102"/>
      <c r="AJ23" s="102"/>
      <c r="AK23" s="36"/>
      <c r="AL23" s="43"/>
      <c r="AM23" s="101" t="s">
        <v>1</v>
      </c>
      <c r="AN23" s="101"/>
      <c r="AO23" s="101"/>
      <c r="AP23" s="101"/>
      <c r="AQ23" s="101"/>
      <c r="AR23" s="112">
        <f>Année_Calendaire</f>
        <v>2018</v>
      </c>
      <c r="AS23" s="112"/>
      <c r="AT23" s="36"/>
      <c r="AU23" s="43"/>
      <c r="AV23" s="25"/>
      <c r="AW23" s="25"/>
      <c r="AX23" s="36"/>
      <c r="AY23" s="18" t="str">
        <f>AM23</f>
        <v xml:space="preserve">FÉVRIER </v>
      </c>
      <c r="AZ23" s="39"/>
      <c r="BA23" s="39"/>
      <c r="BB23" s="39"/>
      <c r="BC23" s="39"/>
      <c r="BD23" s="39"/>
      <c r="BE23" s="39"/>
      <c r="BF23" s="26"/>
    </row>
    <row r="24" spans="1:59" s="22" customFormat="1" ht="29.25" customHeight="1">
      <c r="A24" s="35"/>
      <c r="B24" s="54" t="str">
        <f>IF(C24="",AU5,LEFT(AU5)&amp;MOD(RIGHT(AU5),4)+1)</f>
        <v>c4</v>
      </c>
      <c r="C24" s="100" t="str">
        <f>IF(C25&lt;&gt;"","Lun","")</f>
        <v/>
      </c>
      <c r="D24" s="100" t="str">
        <f>IF(D25&lt;&gt;"","Mar","")</f>
        <v/>
      </c>
      <c r="E24" s="100" t="str">
        <f>IF(E25&lt;&gt;"","Mer","")</f>
        <v/>
      </c>
      <c r="F24" s="100" t="str">
        <f>IF(F25&lt;&gt;"","Jeu","")</f>
        <v>Jeu</v>
      </c>
      <c r="G24" s="100" t="str">
        <f>IF(G25&lt;&gt;"","Ven","")</f>
        <v>Ven</v>
      </c>
      <c r="H24" s="100" t="str">
        <f>IF(H25&lt;&gt;"","Sam","")</f>
        <v>Sam</v>
      </c>
      <c r="I24" s="100" t="str">
        <f>IF(I25&lt;&gt;"","Dim","")</f>
        <v>Dim</v>
      </c>
      <c r="J24" s="113" t="s">
        <v>25</v>
      </c>
      <c r="K24" s="54" t="str">
        <f>IF(L24="",LEFT(B24)&amp;MOD(RIGHT(B24),5),LEFT(B24)&amp;MOD(RIGHT(B24),4)+1)</f>
        <v>c1</v>
      </c>
      <c r="L24" s="100" t="str">
        <f>IF(L25&lt;&gt;"","Lun","")</f>
        <v>Lun</v>
      </c>
      <c r="M24" s="100" t="str">
        <f>IF(M25&lt;&gt;"","Mar","")</f>
        <v>Mar</v>
      </c>
      <c r="N24" s="100" t="str">
        <f>IF(N25&lt;&gt;"","Mer","")</f>
        <v>Mer</v>
      </c>
      <c r="O24" s="100" t="str">
        <f>IF(O25&lt;&gt;"","Jeu","")</f>
        <v>Jeu</v>
      </c>
      <c r="P24" s="103" t="str">
        <f>IF(P25&lt;&gt;"","Ven","")</f>
        <v>Ven</v>
      </c>
      <c r="Q24" s="100" t="str">
        <f>IF(Q25&lt;&gt;"","Sam","")</f>
        <v>Sam</v>
      </c>
      <c r="R24" s="100" t="str">
        <f>IF(R25&lt;&gt;"","Dim","")</f>
        <v>Dim</v>
      </c>
      <c r="S24" s="113" t="s">
        <v>25</v>
      </c>
      <c r="T24" s="54" t="str">
        <f>IF(U24="",LEFT(K24)&amp;MOD(RIGHT(K24),5),LEFT(K24)&amp;MOD(RIGHT(K24),4)+1)</f>
        <v>c2</v>
      </c>
      <c r="U24" s="100" t="str">
        <f>IF(U25&lt;&gt;"","Lun","")</f>
        <v>Lun</v>
      </c>
      <c r="V24" s="100" t="str">
        <f>IF(V25&lt;&gt;"","Mar","")</f>
        <v>Mar</v>
      </c>
      <c r="W24" s="100" t="str">
        <f>IF(W25&lt;&gt;"","Mer","")</f>
        <v>Mer</v>
      </c>
      <c r="X24" s="100" t="str">
        <f>IF(X25&lt;&gt;"","Jeu","")</f>
        <v>Jeu</v>
      </c>
      <c r="Y24" s="100" t="str">
        <f>IF(Y25&lt;&gt;"","Ven","")</f>
        <v>Ven</v>
      </c>
      <c r="Z24" s="100" t="str">
        <f>IF(Z25&lt;&gt;"","Sam","")</f>
        <v>Sam</v>
      </c>
      <c r="AA24" s="100" t="str">
        <f>IF(AA25&lt;&gt;"","Dim","")</f>
        <v>Dim</v>
      </c>
      <c r="AB24" s="113" t="s">
        <v>25</v>
      </c>
      <c r="AC24" s="54" t="str">
        <f>IF(AD24="",LEFT(T24)&amp;MOD(RIGHT(T24),5),LEFT(T24)&amp;MOD(RIGHT(T24),4)+1)</f>
        <v>c3</v>
      </c>
      <c r="AD24" s="100" t="str">
        <f>IF(AD25&lt;&gt;"","Lun","")</f>
        <v>Lun</v>
      </c>
      <c r="AE24" s="100" t="str">
        <f>IF(AE25&lt;&gt;"","Mar","")</f>
        <v>Mar</v>
      </c>
      <c r="AF24" s="100" t="str">
        <f>IF(AF25&lt;&gt;"","Mer","")</f>
        <v>Mer</v>
      </c>
      <c r="AG24" s="100" t="str">
        <f>IF(AG25&lt;&gt;"","Jeu","")</f>
        <v>Jeu</v>
      </c>
      <c r="AH24" s="100" t="str">
        <f>IF(AH25&lt;&gt;"","Ven","")</f>
        <v>Ven</v>
      </c>
      <c r="AI24" s="100" t="str">
        <f>IF(AI25&lt;&gt;"","Sam","")</f>
        <v>Sam</v>
      </c>
      <c r="AJ24" s="100" t="str">
        <f>IF(AJ25&lt;&gt;"","Dim","")</f>
        <v>Dim</v>
      </c>
      <c r="AK24" s="113" t="s">
        <v>25</v>
      </c>
      <c r="AL24" s="54" t="str">
        <f>IF(AM24="",LEFT(AC24)&amp;MOD(RIGHT(AC24),5),LEFT(AC24)&amp;MOD(RIGHT(AC24),4)+1)</f>
        <v>c4</v>
      </c>
      <c r="AM24" s="100" t="str">
        <f>IF(AM25&lt;&gt;"","Lun","")</f>
        <v>Lun</v>
      </c>
      <c r="AN24" s="100" t="str">
        <f>IF(AN25&lt;&gt;"","Mar","")</f>
        <v>Mar</v>
      </c>
      <c r="AO24" s="100" t="str">
        <f>IF(AO25&lt;&gt;"","Mer","")</f>
        <v>Mer</v>
      </c>
      <c r="AP24" s="100" t="str">
        <f>IF(AP25&lt;&gt;"","Jeu","")</f>
        <v/>
      </c>
      <c r="AQ24" s="100" t="str">
        <f>IF(AQ25&lt;&gt;"","Ven","")</f>
        <v/>
      </c>
      <c r="AR24" s="100" t="str">
        <f>IF(AR25&lt;&gt;"","Sam","")</f>
        <v/>
      </c>
      <c r="AS24" s="100" t="str">
        <f>IF(AS25&lt;&gt;"","Dim","")</f>
        <v/>
      </c>
      <c r="AT24" s="113" t="s">
        <v>25</v>
      </c>
      <c r="AU24" s="54" t="str">
        <f>IF(AV24="",LEFT(AL24)&amp;MOD(RIGHT(AL24),5),LEFT(AL24)&amp;MOD(RIGHT(AL24),4)+1)</f>
        <v>c4</v>
      </c>
      <c r="AV24" s="52" t="str">
        <f>IF(AV25&lt;&gt;"","Lun","")</f>
        <v/>
      </c>
      <c r="AW24" s="52" t="str">
        <f>IF(AW25&lt;&gt;"","Mar","")</f>
        <v/>
      </c>
      <c r="AX24" s="113" t="s">
        <v>25</v>
      </c>
      <c r="AY24" s="113" t="s">
        <v>28</v>
      </c>
      <c r="AZ24" s="114">
        <f>AY31+AY32+AY33</f>
        <v>0</v>
      </c>
      <c r="BA24" s="114">
        <f>AZ24+BA5</f>
        <v>0</v>
      </c>
      <c r="BB24" s="38"/>
      <c r="BC24" s="38"/>
      <c r="BD24" s="38"/>
      <c r="BE24" s="38"/>
      <c r="BF24" s="33"/>
    </row>
    <row r="25" spans="1:59" s="24" customFormat="1" ht="15" customHeight="1">
      <c r="A25" s="10"/>
      <c r="B25" s="53"/>
      <c r="C25" s="85" t="str">
        <f>IF(DAY(Fév_Dim1)=1,"",IF(AND(YEAR(Fév_Dim1+1)=Année_Calendaire,MONTH(Fév_Dim1+1)=2),Fév_Dim1+1,""))</f>
        <v/>
      </c>
      <c r="D25" s="85" t="str">
        <f>IF(DAY(Fév_Dim1)=1,"",IF(AND(YEAR(Fév_Dim1+2)=Année_Calendaire,MONTH(Fév_Dim1+2)=2),Fév_Dim1+2,""))</f>
        <v/>
      </c>
      <c r="E25" s="85" t="str">
        <f>IF(DAY(Fév_Dim1)=1,"",IF(AND(YEAR(Fév_Dim1+3)=Année_Calendaire,MONTH(Fév_Dim1+3)=2),Fév_Dim1+3,""))</f>
        <v/>
      </c>
      <c r="F25" s="85">
        <f>IF(DAY(Fév_Dim1)=1,"",IF(AND(YEAR(Fév_Dim1+4)=Année_Calendaire,MONTH(Fév_Dim1+4)=2),Fév_Dim1+4,""))</f>
        <v>43132</v>
      </c>
      <c r="G25" s="85">
        <f>IF(DAY(Fév_Dim1)=1,"",IF(AND(YEAR(Fév_Dim1+5)=Année_Calendaire,MONTH(Fév_Dim1+5)=2),Fév_Dim1+5,""))</f>
        <v>43133</v>
      </c>
      <c r="H25" s="85">
        <f>IF(DAY(Fév_Dim1)=1,"",IF(AND(YEAR(Fév_Dim1+6)=Année_Calendaire,MONTH(Fév_Dim1+6)=2),Fév_Dim1+6,""))</f>
        <v>43134</v>
      </c>
      <c r="I25" s="85">
        <f>IF(DAY(Fév_Dim1)=1,IF(AND(YEAR(Fév_Dim1)=Année_Calendaire,MONTH(Fév_Dim1)=2),Fév_Dim1,""),IF(AND(YEAR(Fév_Dim1+7)=Année_Calendaire,MONTH(Fév_Dim1+7)=2),Fév_Dim1+7,""))</f>
        <v>43135</v>
      </c>
      <c r="J25" s="113"/>
      <c r="K25" s="53"/>
      <c r="L25" s="85">
        <f>IF(DAY(Fév_Dim1)=1,IF(AND(YEAR(Fév_Dim1+1)=Année_Calendaire,MONTH(Fév_Dim1+1)=2),Fév_Dim1+1,""),IF(AND(YEAR(Fév_Dim1+8)=Année_Calendaire,MONTH(Fév_Dim1+8)=2),Fév_Dim1+8,""))</f>
        <v>43136</v>
      </c>
      <c r="M25" s="85">
        <f>IF(DAY(Fév_Dim1)=1,IF(AND(YEAR(Fév_Dim1+2)=Année_Calendaire,MONTH(Fév_Dim1+2)=2),Fév_Dim1+2,""),IF(AND(YEAR(Fév_Dim1+9)=Année_Calendaire,MONTH(Fév_Dim1+9)=2),Fév_Dim1+9,""))</f>
        <v>43137</v>
      </c>
      <c r="N25" s="85">
        <f>IF(DAY(Fév_Dim1)=1,IF(AND(YEAR(Fév_Dim1+3)=Année_Calendaire,MONTH(Fév_Dim1+3)=2),Fév_Dim1+3,""),IF(AND(YEAR(Fév_Dim1+10)=Année_Calendaire,MONTH(Fév_Dim1+10)=2),Fév_Dim1+10,""))</f>
        <v>43138</v>
      </c>
      <c r="O25" s="85">
        <f>IF(DAY(Fév_Dim1)=1,IF(AND(YEAR(Fév_Dim1+4)=Année_Calendaire,MONTH(Fév_Dim1+4)=2),Fév_Dim1+4,""),IF(AND(YEAR(Fév_Dim1+11)=Année_Calendaire,MONTH(Fév_Dim1+11)=2),Fév_Dim1+11,""))</f>
        <v>43139</v>
      </c>
      <c r="P25" s="85">
        <f>IF(DAY(Fév_Dim1)=1,IF(AND(YEAR(Fév_Dim1+5)=Année_Calendaire,MONTH(Fév_Dim1+5)=2),Fév_Dim1+5,""),IF(AND(YEAR(Fév_Dim1+12)=Année_Calendaire,MONTH(Fév_Dim1+12)=2),Fév_Dim1+12,""))</f>
        <v>43140</v>
      </c>
      <c r="Q25" s="85">
        <f>IF(DAY(Fév_Dim1)=1,IF(AND(YEAR(Fév_Dim1+6)=Année_Calendaire,MONTH(Fév_Dim1+6)=2),Fév_Dim1+6,""),IF(AND(YEAR(Fév_Dim1+13)=Année_Calendaire,MONTH(Fév_Dim1+13)=2),Fév_Dim1+13,""))</f>
        <v>43141</v>
      </c>
      <c r="R25" s="85">
        <f>IF(DAY(Fév_Dim1)=1,IF(AND(YEAR(Fév_Dim1+7)=Année_Calendaire,MONTH(Fév_Dim1+7)=2),Fév_Dim1+7,""),IF(AND(YEAR(Fév_Dim1+14)=Année_Calendaire,MONTH(Fév_Dim1+14)=2),Fév_Dim1+14,""))</f>
        <v>43142</v>
      </c>
      <c r="S25" s="113"/>
      <c r="T25" s="53"/>
      <c r="U25" s="85">
        <f>IF(DAY(Fév_Dim1)=1,IF(AND(YEAR(Fév_Dim1+8)=Année_Calendaire,MONTH(Fév_Dim1+8)=2),Fév_Dim1+8,""),IF(AND(YEAR(Fév_Dim1+15)=Année_Calendaire,MONTH(Fév_Dim1+15)=2),Fév_Dim1+15,""))</f>
        <v>43143</v>
      </c>
      <c r="V25" s="85">
        <f>IF(DAY(Fév_Dim1)=1,IF(AND(YEAR(Fév_Dim1+9)=Année_Calendaire,MONTH(Fév_Dim1+9)=2),Fév_Dim1+9,""),IF(AND(YEAR(Fév_Dim1+16)=Année_Calendaire,MONTH(Fév_Dim1+16)=2),Fév_Dim1+16,""))</f>
        <v>43144</v>
      </c>
      <c r="W25" s="85">
        <f>IF(DAY(Fév_Dim1)=1,IF(AND(YEAR(Fév_Dim1+10)=Année_Calendaire,MONTH(Fév_Dim1+10)=2),Fév_Dim1+10,""),IF(AND(YEAR(Fév_Dim1+17)=Année_Calendaire,MONTH(Fév_Dim1+17)=2),Fév_Dim1+17,""))</f>
        <v>43145</v>
      </c>
      <c r="X25" s="85">
        <f>IF(DAY(Fév_Dim1)=1,IF(AND(YEAR(Fév_Dim1+11)=Année_Calendaire,MONTH(Fév_Dim1+11)=2),Fév_Dim1+11,""),IF(AND(YEAR(Fév_Dim1+18)=Année_Calendaire,MONTH(Fév_Dim1+18)=2),Fév_Dim1+18,""))</f>
        <v>43146</v>
      </c>
      <c r="Y25" s="85">
        <f>IF(DAY(Fév_Dim1)=1,IF(AND(YEAR(Fév_Dim1+12)=Année_Calendaire,MONTH(Fév_Dim1+12)=2),Fév_Dim1+12,""),IF(AND(YEAR(Fév_Dim1+19)=Année_Calendaire,MONTH(Fév_Dim1+19)=2),Fév_Dim1+19,""))</f>
        <v>43147</v>
      </c>
      <c r="Z25" s="85">
        <f>IF(DAY(Fév_Dim1)=1,IF(AND(YEAR(Fév_Dim1+13)=Année_Calendaire,MONTH(Fév_Dim1+13)=2),Fév_Dim1+13,""),IF(AND(YEAR(Fév_Dim1+20)=Année_Calendaire,MONTH(Fév_Dim1+20)=2),Fév_Dim1+20,""))</f>
        <v>43148</v>
      </c>
      <c r="AA25" s="85">
        <f>IF(DAY(Fév_Dim1)=1,IF(AND(YEAR(Fév_Dim1+14)=Année_Calendaire,MONTH(Fév_Dim1+14)=2),Fév_Dim1+14,""),IF(AND(YEAR(Fév_Dim1+21)=Année_Calendaire,MONTH(Fév_Dim1+21)=2),Fév_Dim1+21,""))</f>
        <v>43149</v>
      </c>
      <c r="AB25" s="113"/>
      <c r="AC25" s="53"/>
      <c r="AD25" s="85">
        <f>IF(DAY(Fév_Dim1)=1,IF(AND(YEAR(Fév_Dim1+15)=Année_Calendaire,MONTH(Fév_Dim1+15)=2),Fév_Dim1+15,""),IF(AND(YEAR(Fév_Dim1+22)=Année_Calendaire,MONTH(Fév_Dim1+22)=2),Fév_Dim1+22,""))</f>
        <v>43150</v>
      </c>
      <c r="AE25" s="85">
        <f>IF(DAY(Fév_Dim1)=1,IF(AND(YEAR(Fév_Dim1+16)=Année_Calendaire,MONTH(Fév_Dim1+16)=2),Fév_Dim1+16,""),IF(AND(YEAR(Fév_Dim1+23)=Année_Calendaire,MONTH(Fév_Dim1+23)=2),Fév_Dim1+23,""))</f>
        <v>43151</v>
      </c>
      <c r="AF25" s="85">
        <f>IF(DAY(Fév_Dim1)=1,IF(AND(YEAR(Fév_Dim1+17)=Année_Calendaire,MONTH(Fév_Dim1+17)=2),Fév_Dim1+17,""),IF(AND(YEAR(Fév_Dim1+24)=Année_Calendaire,MONTH(Fév_Dim1+24)=2),Fév_Dim1+24,""))</f>
        <v>43152</v>
      </c>
      <c r="AG25" s="85">
        <f>IF(DAY(Fév_Dim1)=1,IF(AND(YEAR(Fév_Dim1+18)=Année_Calendaire,MONTH(Fév_Dim1+18)=2),Fév_Dim1+18,""),IF(AND(YEAR(Fév_Dim1+25)=Année_Calendaire,MONTH(Fév_Dim1+25)=2),Fév_Dim1+25,""))</f>
        <v>43153</v>
      </c>
      <c r="AH25" s="85">
        <f>IF(DAY(Fév_Dim1)=1,IF(AND(YEAR(Fév_Dim1+19)=Année_Calendaire,MONTH(Fév_Dim1+19)=2),Fév_Dim1+19,""),IF(AND(YEAR(Fév_Dim1+26)=Année_Calendaire,MONTH(Fév_Dim1+26)=2),Fév_Dim1+26,""))</f>
        <v>43154</v>
      </c>
      <c r="AI25" s="85">
        <f>IF(DAY(Fév_Dim1)=1,IF(AND(YEAR(Fév_Dim1+20)=Année_Calendaire,MONTH(Fév_Dim1+20)=2),Fév_Dim1+20,""),IF(AND(YEAR(Fév_Dim1+27)=Année_Calendaire,MONTH(Fév_Dim1+27)=2),Fév_Dim1+27,""))</f>
        <v>43155</v>
      </c>
      <c r="AJ25" s="85">
        <f>IF(DAY(Fév_Dim1)=1,IF(AND(YEAR(Fév_Dim1+21)=Année_Calendaire,MONTH(Fév_Dim1+21)=2),Fév_Dim1+21,""),IF(AND(YEAR(Fév_Dim1+28)=Année_Calendaire,MONTH(Fév_Dim1+28)=2),Fév_Dim1+28,""))</f>
        <v>43156</v>
      </c>
      <c r="AK25" s="113"/>
      <c r="AL25" s="53"/>
      <c r="AM25" s="85">
        <f>IF(DAY(Fév_Dim1)=1,IF(AND(YEAR(Fév_Dim1+22)=Année_Calendaire,MONTH(Fév_Dim1+22)=2),Fév_Dim1+22,""),IF(AND(YEAR(Fév_Dim1+29)=Année_Calendaire,MONTH(Fév_Dim1+29)=2),Fév_Dim1+29,""))</f>
        <v>43157</v>
      </c>
      <c r="AN25" s="85">
        <f>IF(DAY(Fév_Dim1)=1,IF(AND(YEAR(Fév_Dim1+23)=Année_Calendaire,MONTH(Fév_Dim1+23)=2),Fév_Dim1+23,""),IF(AND(YEAR(Fév_Dim1+30)=Année_Calendaire,MONTH(Fév_Dim1+30)=2),Fév_Dim1+30,""))</f>
        <v>43158</v>
      </c>
      <c r="AO25" s="85">
        <f>IF(DAY(Fév_Dim1)=1,IF(AND(YEAR(Fév_Dim1+24)=Année_Calendaire,MONTH(Fév_Dim1+24)=2),Fév_Dim1+24,""),IF(AND(YEAR(Fév_Dim1+31)=Année_Calendaire,MONTH(Fév_Dim1+31)=2),Fév_Dim1+31,""))</f>
        <v>43159</v>
      </c>
      <c r="AP25" s="85" t="str">
        <f>IF(DAY(Fév_Dim1)=1,IF(AND(YEAR(Fév_Dim1+25)=Année_Calendaire,MONTH(Fév_Dim1+25)=2),Fév_Dim1+25,""),IF(AND(YEAR(Fév_Dim1+32)=Année_Calendaire,MONTH(Fév_Dim1+32)=2),Fév_Dim1+32,""))</f>
        <v/>
      </c>
      <c r="AQ25" s="85" t="str">
        <f>IF(DAY(Fév_Dim1)=1,IF(AND(YEAR(Fév_Dim1+26)=Année_Calendaire,MONTH(Fév_Dim1+26)=2),Fév_Dim1+26,""),IF(AND(YEAR(Fév_Dim1+33)=Année_Calendaire,MONTH(Fév_Dim1+33)=2),Fév_Dim1+33,""))</f>
        <v/>
      </c>
      <c r="AR25" s="85" t="str">
        <f>IF(DAY(Fév_Dim1)=1,IF(AND(YEAR(Fév_Dim1+27)=Année_Calendaire,MONTH(Fév_Dim1+27)=2),Fév_Dim1+27,""),IF(AND(YEAR(Fév_Dim1+34)=Année_Calendaire,MONTH(Fév_Dim1+34)=2),Fév_Dim1+34,""))</f>
        <v/>
      </c>
      <c r="AS25" s="85" t="str">
        <f>IF(DAY(Fév_Dim1)=1,IF(AND(YEAR(Fév_Dim1+28)=Année_Calendaire,MONTH(Fév_Dim1+28)=2),Fév_Dim1+28,""),IF(AND(YEAR(Fév_Dim1+35)=Année_Calendaire,MONTH(Fév_Dim1+35)=2),Fév_Dim1+35,""))</f>
        <v/>
      </c>
      <c r="AT25" s="113"/>
      <c r="AU25" s="53"/>
      <c r="AV25" s="53" t="str">
        <f>IF(DAY(Fév_Dim1)=1,IF(AND(YEAR(Fév_Dim1+29)=Année_Calendaire,MONTH(Fév_Dim1+29)=2),Fév_Dim1+29,""),IF(AND(YEAR(Fév_Dim1+36)=Année_Calendaire,MONTH(Fév_Dim1+36)=2),Fév_Dim1+36,""))</f>
        <v/>
      </c>
      <c r="AW25" s="53" t="str">
        <f>IF(DAY(Fév_Dim1)=1,IF(AND(YEAR(Fév_Dim1+30)=Année_Calendaire,MONTH(Fév_Dim1+30)=2),Fév_Dim1+30,""),IF(AND(YEAR(Fév_Dim1+37)=Année_Calendaire,MONTH(Fév_Dim1+37)=2),Fév_Dim1+37,""))</f>
        <v/>
      </c>
      <c r="AX25" s="113"/>
      <c r="AY25" s="113"/>
      <c r="AZ25" s="114"/>
      <c r="BA25" s="114"/>
      <c r="BB25" s="31"/>
      <c r="BC25" s="31"/>
      <c r="BD25" s="31"/>
      <c r="BE25" s="31"/>
      <c r="BF25" s="23"/>
    </row>
    <row r="26" spans="1:59" s="5" customFormat="1" ht="15" customHeight="1">
      <c r="A26" s="47" t="s">
        <v>2</v>
      </c>
      <c r="B26" s="47"/>
      <c r="C26" s="48" t="str">
        <f>IF(C25="","",IFERROR(VLOOKUP(B24,DATA!$A$5:$H$9,2,TRUE),0))</f>
        <v/>
      </c>
      <c r="D26" s="48" t="str">
        <f>IF(D25="","",IFERROR(VLOOKUP(B24,DATA!$A$5:$H$9,3,TRUE),0))</f>
        <v/>
      </c>
      <c r="E26" s="48" t="str">
        <f>IF(E25="","",IFERROR(VLOOKUP(B24,DATA!$A$5:$H$9,4,TRUE),0))</f>
        <v/>
      </c>
      <c r="F26" s="48" t="str">
        <f>IF(F25="","",IFERROR(VLOOKUP(B24,DATA!$A$5:$H$9,5,TRUE),0))</f>
        <v>am</v>
      </c>
      <c r="G26" s="48" t="str">
        <f>IF(G25="","",IFERROR(VLOOKUP(B24,DATA!$A$5:$H$9,6,TRUE),0))</f>
        <v>am</v>
      </c>
      <c r="H26" s="48">
        <f>IF(H25="","",IFERROR(VLOOKUP(B24,DATA!$A$5:$H$9,7,TRUE),0))</f>
        <v>0</v>
      </c>
      <c r="I26" s="48">
        <f>IF(I25="","",IFERROR(VLOOKUP(B24,DATA!$A$5:$H$9,8,TRUE),0))</f>
        <v>0</v>
      </c>
      <c r="J26" s="51">
        <f>IF(B24="c1",24,IF((B24="c3"),24,40))</f>
        <v>40</v>
      </c>
      <c r="K26" s="47"/>
      <c r="L26" s="48" t="str">
        <f>IF(L25="","",IFERROR(VLOOKUP(K24,DATA!$A$5:$H$9,2,TRUE),0))</f>
        <v>matin</v>
      </c>
      <c r="M26" s="48" t="str">
        <f>IF(M25="","",IFERROR(VLOOKUP(K24,DATA!$A$5:$H$9,3,TRUE),0))</f>
        <v>matin</v>
      </c>
      <c r="N26" s="48" t="str">
        <f>IF(N25="","",IFERROR(VLOOKUP(K24,DATA!$A$5:$H$9,4,TRUE),0))</f>
        <v>matin</v>
      </c>
      <c r="O26" s="48">
        <f>IF(O25="","",IFERROR(VLOOKUP(K24,DATA!$A$5:$H$9,5,TRUE),0))</f>
        <v>0</v>
      </c>
      <c r="P26" s="48">
        <f>IF(P25="","",IFERROR(VLOOKUP(K24,DATA!$A$5:$H$9,6,TRUE),0))</f>
        <v>0</v>
      </c>
      <c r="Q26" s="48">
        <f>IF(Q25="","",IFERROR(VLOOKUP(K24,DATA!$A$5:$H$9,7,TRUE),0))</f>
        <v>0</v>
      </c>
      <c r="R26" s="48">
        <f>IF(R25="","",IFERROR(VLOOKUP(K24,DATA!$A$5:$H$9,8,TRUE),0))</f>
        <v>0</v>
      </c>
      <c r="S26" s="51">
        <f>IF(K24="c1",24,IF((K24="c3"),24,40))</f>
        <v>24</v>
      </c>
      <c r="T26" s="47"/>
      <c r="U26" s="48" t="str">
        <f>IF(U25="","",IFERROR(VLOOKUP(T24,DATA!$A$5:$H$9,2,TRUE),0))</f>
        <v>nuit</v>
      </c>
      <c r="V26" s="48" t="str">
        <f>IF(V25="","",IFERROR(VLOOKUP(T24,DATA!$A$5:$H$9,3,TRUE),0))</f>
        <v>nuit</v>
      </c>
      <c r="W26" s="48" t="str">
        <f>IF(W25="","",IFERROR(VLOOKUP(T24,DATA!$A$5:$H$9,4,TRUE),0))</f>
        <v>nuit</v>
      </c>
      <c r="X26" s="48" t="str">
        <f>IF(X25="","",IFERROR(VLOOKUP(T24,DATA!$A$5:$H$9,5,TRUE),0))</f>
        <v>nuit</v>
      </c>
      <c r="Y26" s="48" t="str">
        <f>IF(Y25="","",IFERROR(VLOOKUP(T24,DATA!$A$5:$H$9,6,TRUE),0))</f>
        <v>nuit</v>
      </c>
      <c r="Z26" s="48">
        <f>IF(Z25="","",IFERROR(VLOOKUP(T24,DATA!$A$5:$H$9,7,TRUE),0))</f>
        <v>0</v>
      </c>
      <c r="AA26" s="48">
        <f>IF(AA25="","",IFERROR(VLOOKUP(T24,DATA!$A$5:$H$9,8,TRUE),0))</f>
        <v>0</v>
      </c>
      <c r="AB26" s="51">
        <f>IF(T24="c1",24,IF((T24="c3"),24,40))</f>
        <v>40</v>
      </c>
      <c r="AC26" s="47"/>
      <c r="AD26" s="48" t="str">
        <f>IF(AD25="","",IFERROR(VLOOKUP(AC24,DATA!$A$5:$H$9,2,TRUE),0))</f>
        <v>matin</v>
      </c>
      <c r="AE26" s="48">
        <f>IF(AE25="","",IFERROR(VLOOKUP(AC24,DATA!$A$5:$H$9,3,TRUE),0))</f>
        <v>0</v>
      </c>
      <c r="AF26" s="48">
        <f>IF(AF25="","",IFERROR(VLOOKUP(AC24,DATA!$A$5:$H$9,4,TRUE),0))</f>
        <v>0</v>
      </c>
      <c r="AG26" s="48" t="str">
        <f>IF(AG25="","",IFERROR(VLOOKUP(AC24,DATA!$A$5:$H$9,5,TRUE),0))</f>
        <v>matin</v>
      </c>
      <c r="AH26" s="48" t="str">
        <f>IF(AH25="","",IFERROR(VLOOKUP(AC24,DATA!$A$5:$H$9,6,TRUE),0))</f>
        <v>matin</v>
      </c>
      <c r="AI26" s="48">
        <f>IF(AI25="","",IFERROR(VLOOKUP(AC24,DATA!$A$5:$H$9,7,TRUE),0))</f>
        <v>0</v>
      </c>
      <c r="AJ26" s="48">
        <f>IF(AJ25="","",IFERROR(VLOOKUP(AC24,DATA!$A$5:$H$9,8,TRUE),0))</f>
        <v>0</v>
      </c>
      <c r="AK26" s="51">
        <f>IF(AC24="c1",24,IF((AC24="c3"),24,40))</f>
        <v>24</v>
      </c>
      <c r="AL26" s="47"/>
      <c r="AM26" s="48" t="str">
        <f>IF(AM25="","",IFERROR(VLOOKUP(AL24,DATA!$A$5:$H$9,2,TRUE),0))</f>
        <v>am</v>
      </c>
      <c r="AN26" s="48" t="str">
        <f>IF(AN25="","",IFERROR(VLOOKUP(AL24,DATA!$A$5:$H$9,3,TRUE),0))</f>
        <v>am</v>
      </c>
      <c r="AO26" s="48" t="str">
        <f>IF(AO25="","",IFERROR(VLOOKUP(AL24,DATA!$A$5:$H$9,4,TRUE),0))</f>
        <v>am</v>
      </c>
      <c r="AP26" s="48" t="str">
        <f>IF(AP25="","",IFERROR(VLOOKUP(AL24,DATA!$A$5:$H$9,5,TRUE),0))</f>
        <v/>
      </c>
      <c r="AQ26" s="48" t="str">
        <f>IF(AQ25="","",IFERROR(VLOOKUP(AL24,DATA!$A$5:$H$9,6,TRUE),0))</f>
        <v/>
      </c>
      <c r="AR26" s="48" t="str">
        <f>IF(AR25="","",IFERROR(VLOOKUP(AL24,DATA!$A$5:$H$9,7,TRUE),0))</f>
        <v/>
      </c>
      <c r="AS26" s="48" t="str">
        <f>IF(AS25="","",IFERROR(VLOOKUP(AL24,DATA!$A$5:$H$9,8,TRUE),0))</f>
        <v/>
      </c>
      <c r="AT26" s="51">
        <f>IF(AL24="c1",24,IF((AL24="c3"),24,40))</f>
        <v>40</v>
      </c>
      <c r="AU26" s="47"/>
      <c r="AV26" s="48" t="str">
        <f>IF(AV25="","",IFERROR(VLOOKUP(AU24,DATA!$A$5:$H$9,2,TRUE),0))</f>
        <v/>
      </c>
      <c r="AW26" s="48" t="str">
        <f>IF(AW25="","",IFERROR(VLOOKUP(AU24,DATA!$A$5:$H$9,3,TRUE),0))</f>
        <v/>
      </c>
      <c r="AX26" s="51">
        <f>IF(AP24="c1",24,IF((AP24="c3"),24,40))</f>
        <v>40</v>
      </c>
      <c r="AY26" s="49"/>
      <c r="AZ26" s="39"/>
      <c r="BA26" s="39"/>
      <c r="BB26" s="39"/>
      <c r="BC26" s="39"/>
      <c r="BD26" s="39"/>
      <c r="BE26" s="39"/>
      <c r="BF26" s="29"/>
    </row>
    <row r="27" spans="1:59" s="27" customFormat="1" ht="15" customHeight="1">
      <c r="A27" s="50" t="s">
        <v>12</v>
      </c>
      <c r="B27" s="50"/>
      <c r="C27" s="51">
        <f t="shared" ref="C27:I27" si="72">IF(C26="Matin",1,IF(C26="AM",1,0))</f>
        <v>0</v>
      </c>
      <c r="D27" s="51">
        <f t="shared" si="72"/>
        <v>0</v>
      </c>
      <c r="E27" s="51">
        <f t="shared" si="72"/>
        <v>0</v>
      </c>
      <c r="F27" s="51">
        <f t="shared" si="72"/>
        <v>1</v>
      </c>
      <c r="G27" s="51">
        <f t="shared" si="72"/>
        <v>1</v>
      </c>
      <c r="H27" s="51">
        <f t="shared" si="72"/>
        <v>0</v>
      </c>
      <c r="I27" s="51">
        <f t="shared" si="72"/>
        <v>0</v>
      </c>
      <c r="J27" s="51">
        <f>SUM(C27:I27)</f>
        <v>2</v>
      </c>
      <c r="K27" s="50"/>
      <c r="L27" s="51">
        <f t="shared" ref="L27:R27" si="73">IF(L26="Matin",1,IF(L26="AM",1,0))</f>
        <v>1</v>
      </c>
      <c r="M27" s="51">
        <f t="shared" si="73"/>
        <v>1</v>
      </c>
      <c r="N27" s="51">
        <f t="shared" si="73"/>
        <v>1</v>
      </c>
      <c r="O27" s="51">
        <f t="shared" si="73"/>
        <v>0</v>
      </c>
      <c r="P27" s="51">
        <f t="shared" si="73"/>
        <v>0</v>
      </c>
      <c r="Q27" s="51">
        <f t="shared" si="73"/>
        <v>0</v>
      </c>
      <c r="R27" s="51">
        <f t="shared" si="73"/>
        <v>0</v>
      </c>
      <c r="S27" s="51">
        <f>SUM(L27:R27)</f>
        <v>3</v>
      </c>
      <c r="T27" s="50"/>
      <c r="U27" s="51">
        <f t="shared" ref="U27:AA27" si="74">IF(U26="Matin",1,IF(U26="AM",1,0))</f>
        <v>0</v>
      </c>
      <c r="V27" s="51">
        <f t="shared" si="74"/>
        <v>0</v>
      </c>
      <c r="W27" s="51">
        <f t="shared" si="74"/>
        <v>0</v>
      </c>
      <c r="X27" s="51">
        <f t="shared" si="74"/>
        <v>0</v>
      </c>
      <c r="Y27" s="51">
        <f t="shared" si="74"/>
        <v>0</v>
      </c>
      <c r="Z27" s="51">
        <f t="shared" si="74"/>
        <v>0</v>
      </c>
      <c r="AA27" s="51">
        <f t="shared" si="74"/>
        <v>0</v>
      </c>
      <c r="AB27" s="51">
        <f>SUM(U27:AA27)</f>
        <v>0</v>
      </c>
      <c r="AC27" s="50"/>
      <c r="AD27" s="51">
        <f t="shared" ref="AD27:AJ27" si="75">IF(AD26="Matin",1,IF(AD26="AM",1,0))</f>
        <v>1</v>
      </c>
      <c r="AE27" s="51">
        <f t="shared" si="75"/>
        <v>0</v>
      </c>
      <c r="AF27" s="51">
        <f t="shared" si="75"/>
        <v>0</v>
      </c>
      <c r="AG27" s="51">
        <f t="shared" si="75"/>
        <v>1</v>
      </c>
      <c r="AH27" s="51">
        <f t="shared" si="75"/>
        <v>1</v>
      </c>
      <c r="AI27" s="51">
        <f t="shared" si="75"/>
        <v>0</v>
      </c>
      <c r="AJ27" s="51">
        <f t="shared" si="75"/>
        <v>0</v>
      </c>
      <c r="AK27" s="51">
        <f>SUM(AD27:AJ27)</f>
        <v>3</v>
      </c>
      <c r="AL27" s="50"/>
      <c r="AM27" s="51">
        <f t="shared" ref="AM27:AS27" si="76">IF(AM26="Matin",1,IF(AM26="AM",1,0))</f>
        <v>1</v>
      </c>
      <c r="AN27" s="51">
        <f t="shared" si="76"/>
        <v>1</v>
      </c>
      <c r="AO27" s="51">
        <f t="shared" si="76"/>
        <v>1</v>
      </c>
      <c r="AP27" s="51">
        <f t="shared" si="76"/>
        <v>0</v>
      </c>
      <c r="AQ27" s="51">
        <f t="shared" si="76"/>
        <v>0</v>
      </c>
      <c r="AR27" s="51">
        <f t="shared" si="76"/>
        <v>0</v>
      </c>
      <c r="AS27" s="51">
        <f t="shared" si="76"/>
        <v>0</v>
      </c>
      <c r="AT27" s="51">
        <f>SUM(AM27:AS27)</f>
        <v>3</v>
      </c>
      <c r="AU27" s="50"/>
      <c r="AV27" s="51">
        <f t="shared" ref="AV27:AW27" si="77">IF(AV26="Matin",1,IF(AV26="AM",1,0))</f>
        <v>0</v>
      </c>
      <c r="AW27" s="51">
        <f t="shared" si="77"/>
        <v>0</v>
      </c>
      <c r="AX27" s="51">
        <f>SUM(AV27:AW27)</f>
        <v>0</v>
      </c>
      <c r="AY27" s="51">
        <f>J27+S27+AB27+AK27+AT27+AX27</f>
        <v>11</v>
      </c>
      <c r="AZ27" s="25"/>
      <c r="BA27" s="25"/>
      <c r="BB27" s="25"/>
      <c r="BC27" s="25"/>
      <c r="BD27" s="25"/>
      <c r="BE27" s="25"/>
      <c r="BF27" s="25"/>
      <c r="BG27" s="28"/>
    </row>
    <row r="28" spans="1:59" s="27" customFormat="1" ht="15" customHeight="1">
      <c r="A28" s="47" t="s">
        <v>4</v>
      </c>
      <c r="B28" s="47"/>
      <c r="C28" s="48">
        <f>IF(C29&gt;=1,1,0)</f>
        <v>0</v>
      </c>
      <c r="D28" s="48">
        <f>IF(D29&gt;=1,1,0)</f>
        <v>0</v>
      </c>
      <c r="E28" s="48">
        <f t="shared" ref="E28:I28" si="78">IF(E29&gt;=1,1,0)</f>
        <v>0</v>
      </c>
      <c r="F28" s="48">
        <f t="shared" si="78"/>
        <v>1</v>
      </c>
      <c r="G28" s="48">
        <f t="shared" si="78"/>
        <v>1</v>
      </c>
      <c r="H28" s="48">
        <f t="shared" si="78"/>
        <v>0</v>
      </c>
      <c r="I28" s="48">
        <f t="shared" si="78"/>
        <v>0</v>
      </c>
      <c r="J28" s="51">
        <f t="shared" ref="J28:J33" si="79">SUM(C28:I28)</f>
        <v>2</v>
      </c>
      <c r="K28" s="47"/>
      <c r="L28" s="48">
        <f>IF(L29&gt;=1,1,0)</f>
        <v>1</v>
      </c>
      <c r="M28" s="48">
        <f t="shared" ref="M28:R28" si="80">IF(M29&gt;=1,1,0)</f>
        <v>1</v>
      </c>
      <c r="N28" s="48">
        <f t="shared" si="80"/>
        <v>1</v>
      </c>
      <c r="O28" s="48">
        <f t="shared" si="80"/>
        <v>0</v>
      </c>
      <c r="P28" s="48">
        <f t="shared" si="80"/>
        <v>0</v>
      </c>
      <c r="Q28" s="48">
        <f t="shared" si="80"/>
        <v>0</v>
      </c>
      <c r="R28" s="48">
        <f t="shared" si="80"/>
        <v>0</v>
      </c>
      <c r="S28" s="51">
        <f t="shared" ref="S28:S33" si="81">SUM(L28:R28)</f>
        <v>3</v>
      </c>
      <c r="T28" s="47"/>
      <c r="U28" s="48">
        <f>IF(U29&gt;=1,1,0)</f>
        <v>1</v>
      </c>
      <c r="V28" s="48">
        <f t="shared" ref="V28:AA28" si="82">IF(V29&gt;=1,1,0)</f>
        <v>1</v>
      </c>
      <c r="W28" s="48">
        <f t="shared" si="82"/>
        <v>1</v>
      </c>
      <c r="X28" s="48">
        <f t="shared" si="82"/>
        <v>1</v>
      </c>
      <c r="Y28" s="48">
        <f t="shared" si="82"/>
        <v>1</v>
      </c>
      <c r="Z28" s="48">
        <f t="shared" si="82"/>
        <v>0</v>
      </c>
      <c r="AA28" s="48">
        <f t="shared" si="82"/>
        <v>0</v>
      </c>
      <c r="AB28" s="51">
        <f t="shared" ref="AB28:AB33" si="83">SUM(U28:AA28)</f>
        <v>5</v>
      </c>
      <c r="AC28" s="47"/>
      <c r="AD28" s="48">
        <f>IF(AD29&gt;=1,1,0)</f>
        <v>1</v>
      </c>
      <c r="AE28" s="48">
        <f t="shared" ref="AE28:AJ28" si="84">IF(AE29&gt;=1,1,0)</f>
        <v>0</v>
      </c>
      <c r="AF28" s="48">
        <f t="shared" si="84"/>
        <v>0</v>
      </c>
      <c r="AG28" s="48">
        <f t="shared" si="84"/>
        <v>1</v>
      </c>
      <c r="AH28" s="48">
        <f t="shared" si="84"/>
        <v>1</v>
      </c>
      <c r="AI28" s="48">
        <f t="shared" si="84"/>
        <v>0</v>
      </c>
      <c r="AJ28" s="48">
        <f t="shared" si="84"/>
        <v>0</v>
      </c>
      <c r="AK28" s="51">
        <f t="shared" ref="AK28:AK33" si="85">SUM(AD28:AJ28)</f>
        <v>3</v>
      </c>
      <c r="AL28" s="47"/>
      <c r="AM28" s="48">
        <f>IF(AM29&gt;=1,1,0)</f>
        <v>1</v>
      </c>
      <c r="AN28" s="48">
        <f t="shared" ref="AN28:AS28" si="86">IF(AN29&gt;=1,1,0)</f>
        <v>1</v>
      </c>
      <c r="AO28" s="48">
        <f t="shared" si="86"/>
        <v>1</v>
      </c>
      <c r="AP28" s="48">
        <f t="shared" si="86"/>
        <v>0</v>
      </c>
      <c r="AQ28" s="48">
        <f t="shared" si="86"/>
        <v>0</v>
      </c>
      <c r="AR28" s="48">
        <f t="shared" si="86"/>
        <v>0</v>
      </c>
      <c r="AS28" s="48">
        <f t="shared" si="86"/>
        <v>0</v>
      </c>
      <c r="AT28" s="51">
        <f t="shared" ref="AT28:AT33" si="87">SUM(AM28:AS28)</f>
        <v>3</v>
      </c>
      <c r="AU28" s="47"/>
      <c r="AV28" s="48">
        <f>IF(AV29&gt;=1,1,0)</f>
        <v>0</v>
      </c>
      <c r="AW28" s="48">
        <f t="shared" ref="AW28" si="88">IF(AW29&gt;=1,1,0)</f>
        <v>0</v>
      </c>
      <c r="AX28" s="51">
        <f>SUM(AV28:AW28)</f>
        <v>0</v>
      </c>
      <c r="AY28" s="48">
        <f t="shared" ref="AY28:AY37" si="89">J28+S28+AB28+AK28+AT28+AX28</f>
        <v>16</v>
      </c>
      <c r="AZ28" s="39"/>
      <c r="BA28" s="39"/>
      <c r="BB28" s="39"/>
      <c r="BC28" s="39"/>
      <c r="BD28" s="39"/>
      <c r="BE28" s="39"/>
      <c r="BF28" s="29"/>
    </row>
    <row r="29" spans="1:59" s="27" customFormat="1" ht="15" customHeight="1">
      <c r="A29" s="50" t="s">
        <v>3</v>
      </c>
      <c r="B29" s="50"/>
      <c r="C29" s="51">
        <f>IF(C26="Matin",8,IF(C26="AM",8,IF(C26="nuit",8,0)))</f>
        <v>0</v>
      </c>
      <c r="D29" s="51">
        <f t="shared" ref="D29:I29" si="90">IF(D26="Matin",8,IF(D26="AM",8,IF(D26="nuit",8,0)))</f>
        <v>0</v>
      </c>
      <c r="E29" s="51">
        <f t="shared" si="90"/>
        <v>0</v>
      </c>
      <c r="F29" s="51">
        <f t="shared" si="90"/>
        <v>8</v>
      </c>
      <c r="G29" s="51">
        <f t="shared" si="90"/>
        <v>8</v>
      </c>
      <c r="H29" s="51">
        <f t="shared" si="90"/>
        <v>0</v>
      </c>
      <c r="I29" s="51">
        <f t="shared" si="90"/>
        <v>0</v>
      </c>
      <c r="J29" s="51">
        <f t="shared" si="79"/>
        <v>16</v>
      </c>
      <c r="K29" s="50"/>
      <c r="L29" s="51">
        <f>IF(L26="Matin",8,IF(L26="AM",8,IF(L26="nuit",8,0)))</f>
        <v>8</v>
      </c>
      <c r="M29" s="51">
        <f t="shared" ref="M29:R29" si="91">IF(M26="Matin",8,IF(M26="AM",8,IF(M26="nuit",8,0)))</f>
        <v>8</v>
      </c>
      <c r="N29" s="51">
        <f t="shared" si="91"/>
        <v>8</v>
      </c>
      <c r="O29" s="51">
        <f t="shared" si="91"/>
        <v>0</v>
      </c>
      <c r="P29" s="51">
        <f t="shared" si="91"/>
        <v>0</v>
      </c>
      <c r="Q29" s="51">
        <f t="shared" si="91"/>
        <v>0</v>
      </c>
      <c r="R29" s="51">
        <f t="shared" si="91"/>
        <v>0</v>
      </c>
      <c r="S29" s="51">
        <f t="shared" si="81"/>
        <v>24</v>
      </c>
      <c r="T29" s="50"/>
      <c r="U29" s="51">
        <f>IF(U26="Matin",8,IF(U26="AM",8,IF(U26="nuit",8,0)))</f>
        <v>8</v>
      </c>
      <c r="V29" s="51">
        <f t="shared" ref="V29:AA29" si="92">IF(V26="Matin",8,IF(V26="AM",8,IF(V26="nuit",8,0)))</f>
        <v>8</v>
      </c>
      <c r="W29" s="51">
        <f t="shared" si="92"/>
        <v>8</v>
      </c>
      <c r="X29" s="51">
        <f t="shared" si="92"/>
        <v>8</v>
      </c>
      <c r="Y29" s="51">
        <f t="shared" si="92"/>
        <v>8</v>
      </c>
      <c r="Z29" s="51">
        <f t="shared" si="92"/>
        <v>0</v>
      </c>
      <c r="AA29" s="51">
        <f t="shared" si="92"/>
        <v>0</v>
      </c>
      <c r="AB29" s="51">
        <f t="shared" si="83"/>
        <v>40</v>
      </c>
      <c r="AC29" s="50"/>
      <c r="AD29" s="51">
        <f>IF(AD26="Matin",8,IF(AD26="AM",8,IF(AD26="nuit",8,0)))</f>
        <v>8</v>
      </c>
      <c r="AE29" s="51">
        <f t="shared" ref="AE29:AJ29" si="93">IF(AE26="Matin",8,IF(AE26="AM",8,IF(AE26="nuit",8,0)))</f>
        <v>0</v>
      </c>
      <c r="AF29" s="51">
        <f t="shared" si="93"/>
        <v>0</v>
      </c>
      <c r="AG29" s="51">
        <f t="shared" si="93"/>
        <v>8</v>
      </c>
      <c r="AH29" s="51">
        <f t="shared" si="93"/>
        <v>8</v>
      </c>
      <c r="AI29" s="51">
        <f t="shared" si="93"/>
        <v>0</v>
      </c>
      <c r="AJ29" s="51">
        <f t="shared" si="93"/>
        <v>0</v>
      </c>
      <c r="AK29" s="51">
        <f t="shared" si="85"/>
        <v>24</v>
      </c>
      <c r="AL29" s="50"/>
      <c r="AM29" s="51">
        <f>IF(AM26="Matin",8,IF(AM26="AM",8,IF(AM26="nuit",8,0)))</f>
        <v>8</v>
      </c>
      <c r="AN29" s="51">
        <f t="shared" ref="AN29:AS29" si="94">IF(AN26="Matin",8,IF(AN26="AM",8,IF(AN26="nuit",8,0)))</f>
        <v>8</v>
      </c>
      <c r="AO29" s="51">
        <f t="shared" si="94"/>
        <v>8</v>
      </c>
      <c r="AP29" s="51">
        <f t="shared" si="94"/>
        <v>0</v>
      </c>
      <c r="AQ29" s="51">
        <f t="shared" si="94"/>
        <v>0</v>
      </c>
      <c r="AR29" s="51">
        <f t="shared" si="94"/>
        <v>0</v>
      </c>
      <c r="AS29" s="51">
        <f t="shared" si="94"/>
        <v>0</v>
      </c>
      <c r="AT29" s="51">
        <f t="shared" si="87"/>
        <v>24</v>
      </c>
      <c r="AU29" s="50"/>
      <c r="AV29" s="51">
        <f>IF(AV26="Matin",8,IF(AV26="AM",8,IF(AV26="nuit",8,0)))</f>
        <v>0</v>
      </c>
      <c r="AW29" s="51">
        <f t="shared" ref="AW29" si="95">IF(AW26="Matin",8,IF(AW26="AM",8,IF(AW26="nuit",8,0)))</f>
        <v>0</v>
      </c>
      <c r="AX29" s="51">
        <f>SUM(AV29:AW29)</f>
        <v>0</v>
      </c>
      <c r="AY29" s="51">
        <f t="shared" si="89"/>
        <v>128</v>
      </c>
      <c r="AZ29" s="25"/>
      <c r="BA29" s="25"/>
      <c r="BB29" s="25"/>
      <c r="BC29" s="25"/>
      <c r="BD29" s="25"/>
      <c r="BE29" s="25"/>
      <c r="BF29" s="25"/>
      <c r="BG29" s="28"/>
    </row>
    <row r="30" spans="1:59" s="5" customFormat="1" ht="15" customHeight="1">
      <c r="A30" s="47" t="s">
        <v>13</v>
      </c>
      <c r="B30" s="47"/>
      <c r="C30" s="48"/>
      <c r="D30" s="48"/>
      <c r="E30" s="48"/>
      <c r="F30" s="48"/>
      <c r="G30" s="48"/>
      <c r="H30" s="48"/>
      <c r="I30" s="48"/>
      <c r="J30" s="51">
        <f>MAX(MIN(DATA!$D$22-DATA!$C$22,Travail!J29-Travail!J26-I29),0)</f>
        <v>0</v>
      </c>
      <c r="K30" s="47"/>
      <c r="L30" s="48"/>
      <c r="M30" s="48"/>
      <c r="N30" s="48"/>
      <c r="O30" s="48"/>
      <c r="P30" s="48"/>
      <c r="Q30" s="48"/>
      <c r="R30" s="48"/>
      <c r="S30" s="51">
        <f>MAX(MIN(DATA!$D$22-DATA!$C$22,Travail!S29-Travail!S26-R29),0)</f>
        <v>0</v>
      </c>
      <c r="T30" s="47"/>
      <c r="U30" s="48"/>
      <c r="V30" s="48"/>
      <c r="W30" s="48"/>
      <c r="X30" s="48"/>
      <c r="Y30" s="48"/>
      <c r="Z30" s="48"/>
      <c r="AA30" s="48"/>
      <c r="AB30" s="51">
        <f>MAX(MIN(DATA!$D$22-DATA!$C$22,Travail!AB29-Travail!AB26-AA29),0)</f>
        <v>0</v>
      </c>
      <c r="AC30" s="47"/>
      <c r="AD30" s="48"/>
      <c r="AE30" s="48"/>
      <c r="AF30" s="48"/>
      <c r="AG30" s="48"/>
      <c r="AH30" s="48"/>
      <c r="AI30" s="48"/>
      <c r="AJ30" s="48"/>
      <c r="AK30" s="51">
        <f>MAX(MIN(DATA!$D$22-DATA!$C$22,Travail!AK29-Travail!AK26-AJ29),0)</f>
        <v>0</v>
      </c>
      <c r="AL30" s="47"/>
      <c r="AM30" s="48"/>
      <c r="AN30" s="48"/>
      <c r="AO30" s="48"/>
      <c r="AP30" s="48"/>
      <c r="AQ30" s="48"/>
      <c r="AR30" s="48"/>
      <c r="AS30" s="48"/>
      <c r="AT30" s="51">
        <f>MAX(MIN(DATA!$D$22-DATA!$C$22,Travail!AT29-Travail!AT26-AS29),0)</f>
        <v>0</v>
      </c>
      <c r="AU30" s="47"/>
      <c r="AV30" s="48"/>
      <c r="AW30" s="48"/>
      <c r="AX30" s="51">
        <f>MAX(MIN(DATA!$D$22-DATA!$C$22,Travail!AX29-Travail!AX26),0)</f>
        <v>0</v>
      </c>
      <c r="AY30" s="49">
        <f t="shared" si="89"/>
        <v>0</v>
      </c>
      <c r="AZ30" s="39"/>
      <c r="BA30" s="39"/>
      <c r="BB30" s="39"/>
      <c r="BC30" s="39"/>
      <c r="BD30" s="39"/>
      <c r="BE30" s="39"/>
      <c r="BF30" s="29"/>
    </row>
    <row r="31" spans="1:59" s="27" customFormat="1" ht="15" customHeight="1">
      <c r="A31" s="50" t="s">
        <v>6</v>
      </c>
      <c r="B31" s="50"/>
      <c r="C31" s="51"/>
      <c r="D31" s="51"/>
      <c r="E31" s="51"/>
      <c r="F31" s="51"/>
      <c r="G31" s="51"/>
      <c r="H31" s="51"/>
      <c r="I31" s="51"/>
      <c r="J31" s="51">
        <f>MAX(MIN(DATA!$E$22-DATA!$D$22,Travail!J29-Travail!J26-Travail!J30-I29),0)</f>
        <v>0</v>
      </c>
      <c r="K31" s="50"/>
      <c r="L31" s="51"/>
      <c r="M31" s="51"/>
      <c r="N31" s="51"/>
      <c r="O31" s="51"/>
      <c r="P31" s="51"/>
      <c r="Q31" s="51"/>
      <c r="R31" s="51"/>
      <c r="S31" s="51">
        <f>MAX(MIN(DATA!$E$22-DATA!$D$22,Travail!S29-Travail!S26-Travail!S30-R29),0)</f>
        <v>0</v>
      </c>
      <c r="T31" s="50"/>
      <c r="U31" s="51"/>
      <c r="V31" s="51"/>
      <c r="W31" s="51"/>
      <c r="X31" s="51"/>
      <c r="Y31" s="51"/>
      <c r="Z31" s="51"/>
      <c r="AA31" s="51"/>
      <c r="AB31" s="51">
        <f>MAX(MIN(DATA!$E$22-DATA!$D$22,Travail!AB29-Travail!AB26-Travail!AB30-AA29),0)</f>
        <v>0</v>
      </c>
      <c r="AC31" s="50"/>
      <c r="AD31" s="51"/>
      <c r="AE31" s="51"/>
      <c r="AF31" s="51"/>
      <c r="AG31" s="51"/>
      <c r="AH31" s="51"/>
      <c r="AI31" s="51"/>
      <c r="AJ31" s="51"/>
      <c r="AK31" s="51">
        <f>MAX(MIN(DATA!$E$22-DATA!$D$22,Travail!AK29-Travail!AK26-Travail!AK30-AJ29),0)</f>
        <v>0</v>
      </c>
      <c r="AL31" s="50"/>
      <c r="AM31" s="51"/>
      <c r="AN31" s="51"/>
      <c r="AO31" s="51"/>
      <c r="AP31" s="51"/>
      <c r="AQ31" s="51"/>
      <c r="AR31" s="51"/>
      <c r="AS31" s="51"/>
      <c r="AT31" s="51">
        <f>MAX(MIN(DATA!$E$22-DATA!$D$22,Travail!AT29-Travail!AT26-Travail!AT30-AS29),0)</f>
        <v>0</v>
      </c>
      <c r="AU31" s="50"/>
      <c r="AV31" s="51"/>
      <c r="AW31" s="51"/>
      <c r="AX31" s="51">
        <f>MAX(MIN(DATA!$E$22-DATA!$D$22,Travail!AX29-Travail!AX26-Travail!AX30),0)</f>
        <v>0</v>
      </c>
      <c r="AY31" s="51">
        <f t="shared" si="89"/>
        <v>0</v>
      </c>
      <c r="AZ31" s="25"/>
      <c r="BA31" s="25"/>
      <c r="BB31" s="25"/>
      <c r="BC31" s="25"/>
      <c r="BD31" s="25"/>
      <c r="BE31" s="25"/>
      <c r="BF31" s="25"/>
      <c r="BG31" s="28"/>
    </row>
    <row r="32" spans="1:59" s="5" customFormat="1" ht="15" customHeight="1">
      <c r="A32" s="47" t="s">
        <v>5</v>
      </c>
      <c r="B32" s="47"/>
      <c r="C32" s="48"/>
      <c r="D32" s="48"/>
      <c r="E32" s="48"/>
      <c r="F32" s="48"/>
      <c r="G32" s="48"/>
      <c r="H32" s="48"/>
      <c r="I32" s="48"/>
      <c r="J32" s="51">
        <f>MAX(J29-J26-J31-J30-J33,0)</f>
        <v>0</v>
      </c>
      <c r="K32" s="47"/>
      <c r="L32" s="48"/>
      <c r="M32" s="48"/>
      <c r="N32" s="48"/>
      <c r="O32" s="48"/>
      <c r="P32" s="48"/>
      <c r="Q32" s="48"/>
      <c r="R32" s="48"/>
      <c r="S32" s="51">
        <f>MAX(S29-S26-S31-S30-S33,0)</f>
        <v>0</v>
      </c>
      <c r="T32" s="47"/>
      <c r="U32" s="48"/>
      <c r="V32" s="48"/>
      <c r="W32" s="48"/>
      <c r="X32" s="48"/>
      <c r="Y32" s="48"/>
      <c r="Z32" s="48"/>
      <c r="AA32" s="48"/>
      <c r="AB32" s="51">
        <f>MAX(AB29-AB26-AB31-AB30-AB33,0)</f>
        <v>0</v>
      </c>
      <c r="AC32" s="47"/>
      <c r="AD32" s="48"/>
      <c r="AE32" s="48"/>
      <c r="AF32" s="48"/>
      <c r="AG32" s="48"/>
      <c r="AH32" s="48"/>
      <c r="AI32" s="48"/>
      <c r="AJ32" s="48"/>
      <c r="AK32" s="51">
        <f>MAX(AK29-AK26-AK31-AK30-AK33,0)</f>
        <v>0</v>
      </c>
      <c r="AL32" s="47"/>
      <c r="AM32" s="48"/>
      <c r="AN32" s="48"/>
      <c r="AO32" s="48"/>
      <c r="AP32" s="48"/>
      <c r="AQ32" s="48"/>
      <c r="AR32" s="48"/>
      <c r="AS32" s="48"/>
      <c r="AT32" s="51">
        <f>MAX(AT29-AT26-AT31-AT30-AT33,0)</f>
        <v>0</v>
      </c>
      <c r="AU32" s="47"/>
      <c r="AV32" s="48"/>
      <c r="AW32" s="48"/>
      <c r="AX32" s="97">
        <f>MAX(AX29-AX26-AX31-AX30,0)</f>
        <v>0</v>
      </c>
      <c r="AY32" s="49">
        <f t="shared" si="89"/>
        <v>0</v>
      </c>
      <c r="AZ32" s="39"/>
      <c r="BA32" s="39"/>
      <c r="BB32" s="39"/>
      <c r="BC32" s="39"/>
      <c r="BD32" s="39"/>
      <c r="BE32" s="39"/>
      <c r="BF32" s="29"/>
    </row>
    <row r="33" spans="1:59" s="27" customFormat="1" ht="15" customHeight="1">
      <c r="A33" s="50" t="s">
        <v>7</v>
      </c>
      <c r="B33" s="50"/>
      <c r="C33" s="51">
        <f>IF(C24="Dim",C29,IF(C39="ferie",C29,0))</f>
        <v>0</v>
      </c>
      <c r="D33" s="51">
        <f t="shared" ref="D33:I33" si="96">IF(D24="Dim",D29,IF(D39="ferie",D29,0))</f>
        <v>0</v>
      </c>
      <c r="E33" s="51">
        <f t="shared" si="96"/>
        <v>0</v>
      </c>
      <c r="F33" s="51">
        <f t="shared" si="96"/>
        <v>0</v>
      </c>
      <c r="G33" s="51">
        <f t="shared" si="96"/>
        <v>0</v>
      </c>
      <c r="H33" s="51">
        <f t="shared" si="96"/>
        <v>0</v>
      </c>
      <c r="I33" s="51">
        <f t="shared" si="96"/>
        <v>0</v>
      </c>
      <c r="J33" s="51">
        <f t="shared" si="79"/>
        <v>0</v>
      </c>
      <c r="K33" s="50"/>
      <c r="L33" s="51">
        <f>IF(L24="Dim",L29,IF(L39="ferie",L29,0))</f>
        <v>0</v>
      </c>
      <c r="M33" s="51">
        <f t="shared" ref="M33:R33" si="97">IF(M24="Dim",M29,IF(M39="ferie",M29,0))</f>
        <v>0</v>
      </c>
      <c r="N33" s="51">
        <f t="shared" si="97"/>
        <v>0</v>
      </c>
      <c r="O33" s="51">
        <f t="shared" si="97"/>
        <v>0</v>
      </c>
      <c r="P33" s="51">
        <f t="shared" si="97"/>
        <v>0</v>
      </c>
      <c r="Q33" s="51">
        <f>IF(Q24="Dim",Q29,IF(Q39="ferie",Q29,0))</f>
        <v>0</v>
      </c>
      <c r="R33" s="51">
        <f t="shared" si="97"/>
        <v>0</v>
      </c>
      <c r="S33" s="51">
        <f t="shared" si="81"/>
        <v>0</v>
      </c>
      <c r="T33" s="50"/>
      <c r="U33" s="51">
        <f>IF(U24="Dim",U29,IF(U39="ferie",U29,0))</f>
        <v>0</v>
      </c>
      <c r="V33" s="51">
        <f t="shared" ref="V33:AA33" si="98">IF(V24="Dim",V29,IF(V39="ferie",V29,0))</f>
        <v>0</v>
      </c>
      <c r="W33" s="51">
        <f t="shared" si="98"/>
        <v>0</v>
      </c>
      <c r="X33" s="51">
        <f t="shared" si="98"/>
        <v>0</v>
      </c>
      <c r="Y33" s="51">
        <f t="shared" si="98"/>
        <v>0</v>
      </c>
      <c r="Z33" s="51">
        <f t="shared" si="98"/>
        <v>0</v>
      </c>
      <c r="AA33" s="51">
        <f t="shared" si="98"/>
        <v>0</v>
      </c>
      <c r="AB33" s="51">
        <f t="shared" si="83"/>
        <v>0</v>
      </c>
      <c r="AC33" s="50"/>
      <c r="AD33" s="51">
        <f>IF(AD24="Dim",AD29,IF(AD39="ferie",AD29,0))</f>
        <v>0</v>
      </c>
      <c r="AE33" s="51">
        <f t="shared" ref="AE33:AJ33" si="99">IF(AE24="Dim",AE29,IF(AE39="ferie",AE29,0))</f>
        <v>0</v>
      </c>
      <c r="AF33" s="51">
        <f t="shared" si="99"/>
        <v>0</v>
      </c>
      <c r="AG33" s="51">
        <f t="shared" si="99"/>
        <v>0</v>
      </c>
      <c r="AH33" s="51">
        <f t="shared" si="99"/>
        <v>0</v>
      </c>
      <c r="AI33" s="51">
        <f t="shared" si="99"/>
        <v>0</v>
      </c>
      <c r="AJ33" s="51">
        <f t="shared" si="99"/>
        <v>0</v>
      </c>
      <c r="AK33" s="51">
        <f t="shared" si="85"/>
        <v>0</v>
      </c>
      <c r="AL33" s="50"/>
      <c r="AM33" s="51">
        <f>IF(AM24="Dim",AM29,IF(AM39="ferie",AM29,0))</f>
        <v>0</v>
      </c>
      <c r="AN33" s="51">
        <f t="shared" ref="AN33:AW33" si="100">IF(AN24="Dim",AN29,IF(AN39="ferie",AN29,0))</f>
        <v>0</v>
      </c>
      <c r="AO33" s="51">
        <f t="shared" si="100"/>
        <v>0</v>
      </c>
      <c r="AP33" s="51">
        <f t="shared" si="100"/>
        <v>0</v>
      </c>
      <c r="AQ33" s="51">
        <f t="shared" si="100"/>
        <v>0</v>
      </c>
      <c r="AR33" s="51">
        <f t="shared" si="100"/>
        <v>0</v>
      </c>
      <c r="AS33" s="51">
        <f t="shared" si="100"/>
        <v>0</v>
      </c>
      <c r="AT33" s="51">
        <f t="shared" si="87"/>
        <v>0</v>
      </c>
      <c r="AU33" s="50"/>
      <c r="AV33" s="51">
        <f>IF(AV24="Dim",AV29,IF(AV39="ferie",AV29,0))</f>
        <v>0</v>
      </c>
      <c r="AW33" s="51">
        <f t="shared" si="100"/>
        <v>0</v>
      </c>
      <c r="AX33" s="51">
        <f t="shared" ref="AX33:AX38" si="101">SUM(AV33:AW33)</f>
        <v>0</v>
      </c>
      <c r="AY33" s="51">
        <f t="shared" si="89"/>
        <v>0</v>
      </c>
      <c r="AZ33" s="25"/>
      <c r="BA33" s="25"/>
      <c r="BB33" s="25"/>
      <c r="BC33" s="25"/>
      <c r="BD33" s="25"/>
      <c r="BE33" s="25"/>
      <c r="BF33" s="25"/>
      <c r="BG33" s="28"/>
    </row>
    <row r="34" spans="1:59" s="27" customFormat="1" ht="15" customHeight="1">
      <c r="A34" s="47" t="s">
        <v>8</v>
      </c>
      <c r="B34" s="47"/>
      <c r="C34" s="48"/>
      <c r="D34" s="48"/>
      <c r="E34" s="48"/>
      <c r="F34" s="48"/>
      <c r="G34" s="48"/>
      <c r="H34" s="48"/>
      <c r="I34" s="48"/>
      <c r="J34" s="51">
        <f t="shared" ref="J34:J38" si="102">SUM(C34:I34)</f>
        <v>0</v>
      </c>
      <c r="K34" s="47"/>
      <c r="L34" s="48"/>
      <c r="M34" s="48"/>
      <c r="N34" s="48"/>
      <c r="O34" s="48"/>
      <c r="P34" s="48"/>
      <c r="Q34" s="48"/>
      <c r="R34" s="48"/>
      <c r="S34" s="51">
        <f t="shared" ref="S34:S38" si="103">SUM(L34:R34)</f>
        <v>0</v>
      </c>
      <c r="T34" s="47"/>
      <c r="U34" s="48"/>
      <c r="V34" s="48"/>
      <c r="W34" s="48"/>
      <c r="X34" s="48"/>
      <c r="Y34" s="48"/>
      <c r="Z34" s="48"/>
      <c r="AA34" s="48"/>
      <c r="AB34" s="51">
        <f t="shared" ref="AB34:AB38" si="104">SUM(U34:AA34)</f>
        <v>0</v>
      </c>
      <c r="AC34" s="47"/>
      <c r="AD34" s="48"/>
      <c r="AE34" s="48"/>
      <c r="AF34" s="48"/>
      <c r="AG34" s="48"/>
      <c r="AH34" s="48"/>
      <c r="AI34" s="48"/>
      <c r="AJ34" s="48"/>
      <c r="AK34" s="51">
        <f t="shared" ref="AK34:AK38" si="105">SUM(AD34:AJ34)</f>
        <v>0</v>
      </c>
      <c r="AL34" s="47"/>
      <c r="AM34" s="48"/>
      <c r="AN34" s="48"/>
      <c r="AO34" s="48"/>
      <c r="AP34" s="48"/>
      <c r="AQ34" s="48"/>
      <c r="AR34" s="48"/>
      <c r="AS34" s="48"/>
      <c r="AT34" s="51">
        <f t="shared" ref="AT34:AT38" si="106">SUM(AM34:AS34)</f>
        <v>0</v>
      </c>
      <c r="AU34" s="47"/>
      <c r="AV34" s="48"/>
      <c r="AW34" s="48"/>
      <c r="AX34" s="51">
        <f>SUM(AV34:AW34)</f>
        <v>0</v>
      </c>
      <c r="AY34" s="48">
        <f t="shared" si="89"/>
        <v>0</v>
      </c>
      <c r="AZ34" s="39"/>
      <c r="BA34" s="39"/>
      <c r="BB34" s="39"/>
      <c r="BC34" s="39"/>
      <c r="BD34" s="39"/>
      <c r="BE34" s="39"/>
      <c r="BF34" s="29"/>
    </row>
    <row r="35" spans="1:59" s="27" customFormat="1" ht="15" customHeight="1">
      <c r="A35" s="50" t="s">
        <v>9</v>
      </c>
      <c r="B35" s="50"/>
      <c r="C35" s="51"/>
      <c r="D35" s="51"/>
      <c r="E35" s="51"/>
      <c r="F35" s="51"/>
      <c r="G35" s="51"/>
      <c r="H35" s="51"/>
      <c r="I35" s="51"/>
      <c r="J35" s="51">
        <f t="shared" si="102"/>
        <v>0</v>
      </c>
      <c r="K35" s="50"/>
      <c r="L35" s="51"/>
      <c r="M35" s="51"/>
      <c r="N35" s="51"/>
      <c r="O35" s="51"/>
      <c r="P35" s="51"/>
      <c r="Q35" s="51"/>
      <c r="R35" s="51"/>
      <c r="S35" s="51">
        <f t="shared" si="103"/>
        <v>0</v>
      </c>
      <c r="T35" s="50"/>
      <c r="U35" s="51"/>
      <c r="V35" s="51"/>
      <c r="W35" s="51"/>
      <c r="X35" s="51"/>
      <c r="Y35" s="51"/>
      <c r="Z35" s="51"/>
      <c r="AA35" s="51"/>
      <c r="AB35" s="51">
        <f t="shared" si="104"/>
        <v>0</v>
      </c>
      <c r="AC35" s="50"/>
      <c r="AD35" s="51"/>
      <c r="AE35" s="51"/>
      <c r="AF35" s="51"/>
      <c r="AG35" s="51"/>
      <c r="AH35" s="51"/>
      <c r="AI35" s="51"/>
      <c r="AJ35" s="51"/>
      <c r="AK35" s="51">
        <f t="shared" si="105"/>
        <v>0</v>
      </c>
      <c r="AL35" s="50"/>
      <c r="AM35" s="51"/>
      <c r="AN35" s="51"/>
      <c r="AO35" s="51"/>
      <c r="AP35" s="51"/>
      <c r="AQ35" s="51"/>
      <c r="AR35" s="51"/>
      <c r="AS35" s="51"/>
      <c r="AT35" s="51">
        <f t="shared" si="106"/>
        <v>0</v>
      </c>
      <c r="AU35" s="50"/>
      <c r="AV35" s="51"/>
      <c r="AW35" s="51"/>
      <c r="AX35" s="51">
        <f t="shared" si="101"/>
        <v>0</v>
      </c>
      <c r="AY35" s="51">
        <f t="shared" si="89"/>
        <v>0</v>
      </c>
      <c r="AZ35" s="25"/>
      <c r="BA35" s="25"/>
      <c r="BB35" s="25"/>
      <c r="BC35" s="25"/>
      <c r="BD35" s="25"/>
      <c r="BE35" s="25"/>
      <c r="BF35" s="25"/>
      <c r="BG35" s="28"/>
    </row>
    <row r="36" spans="1:59" s="5" customFormat="1" ht="15" customHeight="1">
      <c r="A36" s="47" t="s">
        <v>11</v>
      </c>
      <c r="B36" s="47"/>
      <c r="C36" s="48"/>
      <c r="D36" s="48"/>
      <c r="E36" s="48"/>
      <c r="F36" s="48"/>
      <c r="G36" s="48"/>
      <c r="H36" s="48"/>
      <c r="I36" s="48"/>
      <c r="J36" s="51">
        <f t="shared" si="102"/>
        <v>0</v>
      </c>
      <c r="K36" s="47"/>
      <c r="L36" s="48"/>
      <c r="M36" s="48"/>
      <c r="N36" s="48"/>
      <c r="O36" s="48"/>
      <c r="P36" s="48"/>
      <c r="Q36" s="48"/>
      <c r="R36" s="48"/>
      <c r="S36" s="51">
        <f t="shared" si="103"/>
        <v>0</v>
      </c>
      <c r="T36" s="47"/>
      <c r="U36" s="48"/>
      <c r="V36" s="48"/>
      <c r="W36" s="48"/>
      <c r="X36" s="48"/>
      <c r="Y36" s="48"/>
      <c r="Z36" s="48"/>
      <c r="AA36" s="48"/>
      <c r="AB36" s="51">
        <f t="shared" si="104"/>
        <v>0</v>
      </c>
      <c r="AC36" s="47"/>
      <c r="AD36" s="48"/>
      <c r="AE36" s="48"/>
      <c r="AF36" s="48"/>
      <c r="AG36" s="48"/>
      <c r="AH36" s="48"/>
      <c r="AI36" s="48"/>
      <c r="AJ36" s="48"/>
      <c r="AK36" s="51">
        <f t="shared" si="105"/>
        <v>0</v>
      </c>
      <c r="AL36" s="47"/>
      <c r="AM36" s="48"/>
      <c r="AN36" s="48"/>
      <c r="AO36" s="48"/>
      <c r="AP36" s="48"/>
      <c r="AQ36" s="48"/>
      <c r="AR36" s="48"/>
      <c r="AS36" s="48"/>
      <c r="AT36" s="51">
        <f t="shared" si="106"/>
        <v>0</v>
      </c>
      <c r="AU36" s="47"/>
      <c r="AV36" s="48"/>
      <c r="AW36" s="48"/>
      <c r="AX36" s="51">
        <f t="shared" si="101"/>
        <v>0</v>
      </c>
      <c r="AY36" s="49">
        <f t="shared" si="89"/>
        <v>0</v>
      </c>
      <c r="AZ36" s="39"/>
      <c r="BA36" s="39"/>
      <c r="BB36" s="39"/>
      <c r="BC36" s="39"/>
      <c r="BD36" s="39"/>
      <c r="BE36" s="39"/>
      <c r="BF36" s="29"/>
    </row>
    <row r="37" spans="1:59" s="27" customFormat="1" ht="15" customHeight="1">
      <c r="A37" s="50" t="s">
        <v>10</v>
      </c>
      <c r="B37" s="50"/>
      <c r="C37" s="51"/>
      <c r="D37" s="51"/>
      <c r="E37" s="51"/>
      <c r="F37" s="51"/>
      <c r="G37" s="51"/>
      <c r="H37" s="51"/>
      <c r="I37" s="51"/>
      <c r="J37" s="51">
        <f t="shared" si="102"/>
        <v>0</v>
      </c>
      <c r="K37" s="50"/>
      <c r="L37" s="51"/>
      <c r="M37" s="51"/>
      <c r="N37" s="51"/>
      <c r="O37" s="51"/>
      <c r="P37" s="51"/>
      <c r="Q37" s="51"/>
      <c r="R37" s="51"/>
      <c r="S37" s="51">
        <f t="shared" si="103"/>
        <v>0</v>
      </c>
      <c r="T37" s="50"/>
      <c r="U37" s="51"/>
      <c r="V37" s="51"/>
      <c r="W37" s="51"/>
      <c r="X37" s="51"/>
      <c r="Y37" s="51"/>
      <c r="Z37" s="51"/>
      <c r="AA37" s="51"/>
      <c r="AB37" s="51">
        <f t="shared" si="104"/>
        <v>0</v>
      </c>
      <c r="AC37" s="50"/>
      <c r="AD37" s="51"/>
      <c r="AE37" s="51"/>
      <c r="AF37" s="51"/>
      <c r="AG37" s="51"/>
      <c r="AH37" s="51"/>
      <c r="AI37" s="51"/>
      <c r="AJ37" s="51"/>
      <c r="AK37" s="51">
        <f t="shared" si="105"/>
        <v>0</v>
      </c>
      <c r="AL37" s="50"/>
      <c r="AM37" s="51"/>
      <c r="AN37" s="51"/>
      <c r="AO37" s="51"/>
      <c r="AP37" s="51"/>
      <c r="AQ37" s="51"/>
      <c r="AR37" s="51"/>
      <c r="AS37" s="51"/>
      <c r="AT37" s="51">
        <f t="shared" si="106"/>
        <v>0</v>
      </c>
      <c r="AU37" s="50"/>
      <c r="AV37" s="51"/>
      <c r="AW37" s="51"/>
      <c r="AX37" s="51">
        <f t="shared" si="101"/>
        <v>0</v>
      </c>
      <c r="AY37" s="51">
        <f t="shared" si="89"/>
        <v>0</v>
      </c>
      <c r="AZ37" s="25"/>
      <c r="BA37" s="25"/>
      <c r="BB37" s="25"/>
      <c r="BC37" s="25"/>
      <c r="BD37" s="25"/>
      <c r="BE37" s="25"/>
      <c r="BF37" s="25"/>
      <c r="BG37" s="28"/>
    </row>
    <row r="38" spans="1:59" s="5" customFormat="1" ht="15" customHeight="1">
      <c r="A38" s="47" t="s">
        <v>37</v>
      </c>
      <c r="B38" s="47"/>
      <c r="C38" s="48">
        <f>IF(C26="nuit",C29*0.02,0)</f>
        <v>0</v>
      </c>
      <c r="D38" s="48">
        <f>IF(D26="nuit",D29*0.02,0)</f>
        <v>0</v>
      </c>
      <c r="E38" s="48">
        <f t="shared" ref="E38:I38" si="107">IF(E26="nuit",E29*0.02,0)</f>
        <v>0</v>
      </c>
      <c r="F38" s="48">
        <f t="shared" si="107"/>
        <v>0</v>
      </c>
      <c r="G38" s="48">
        <f>IF(G26="nuit",G29*0.02,0)</f>
        <v>0</v>
      </c>
      <c r="H38" s="48">
        <f t="shared" si="107"/>
        <v>0</v>
      </c>
      <c r="I38" s="48">
        <f t="shared" si="107"/>
        <v>0</v>
      </c>
      <c r="J38" s="51">
        <f t="shared" si="102"/>
        <v>0</v>
      </c>
      <c r="K38" s="47"/>
      <c r="L38" s="48">
        <f>IF(L26="nuit",L29*0.02,0)</f>
        <v>0</v>
      </c>
      <c r="M38" s="48">
        <f>IF(M26="nuit",M29*0.02,0)</f>
        <v>0</v>
      </c>
      <c r="N38" s="48">
        <f t="shared" ref="N38:R38" si="108">IF(N26="nuit",N29*0.02,0)</f>
        <v>0</v>
      </c>
      <c r="O38" s="48">
        <f t="shared" si="108"/>
        <v>0</v>
      </c>
      <c r="P38" s="48">
        <f>IF(P26="nuit",P29*0.02,0)</f>
        <v>0</v>
      </c>
      <c r="Q38" s="48">
        <f t="shared" si="108"/>
        <v>0</v>
      </c>
      <c r="R38" s="48">
        <f t="shared" si="108"/>
        <v>0</v>
      </c>
      <c r="S38" s="51">
        <f t="shared" si="103"/>
        <v>0</v>
      </c>
      <c r="T38" s="47"/>
      <c r="U38" s="48">
        <f>IF(U26="nuit",U29*0.02,0)</f>
        <v>0.16</v>
      </c>
      <c r="V38" s="48">
        <f>IF(V26="nuit",V29*0.02,0)</f>
        <v>0.16</v>
      </c>
      <c r="W38" s="48">
        <f t="shared" ref="W38:AA38" si="109">IF(W26="nuit",W29*0.02,0)</f>
        <v>0.16</v>
      </c>
      <c r="X38" s="48">
        <f t="shared" si="109"/>
        <v>0.16</v>
      </c>
      <c r="Y38" s="48">
        <f>IF(Y26="nuit",Y29*0.02,0)</f>
        <v>0.16</v>
      </c>
      <c r="Z38" s="48">
        <f t="shared" si="109"/>
        <v>0</v>
      </c>
      <c r="AA38" s="48">
        <f t="shared" si="109"/>
        <v>0</v>
      </c>
      <c r="AB38" s="51">
        <f t="shared" si="104"/>
        <v>0.8</v>
      </c>
      <c r="AC38" s="47"/>
      <c r="AD38" s="48">
        <f>IF(AD26="nuit",AD29*0.02,0)</f>
        <v>0</v>
      </c>
      <c r="AE38" s="48">
        <f>IF(AE26="nuit",AE29*0.02,0)</f>
        <v>0</v>
      </c>
      <c r="AF38" s="48">
        <f t="shared" ref="AF38:AJ38" si="110">IF(AF26="nuit",AF29*0.02,0)</f>
        <v>0</v>
      </c>
      <c r="AG38" s="48">
        <f t="shared" si="110"/>
        <v>0</v>
      </c>
      <c r="AH38" s="48">
        <f>IF(AH26="nuit",AH29*0.02,0)</f>
        <v>0</v>
      </c>
      <c r="AI38" s="48">
        <f t="shared" si="110"/>
        <v>0</v>
      </c>
      <c r="AJ38" s="48">
        <f t="shared" si="110"/>
        <v>0</v>
      </c>
      <c r="AK38" s="51">
        <f t="shared" si="105"/>
        <v>0</v>
      </c>
      <c r="AL38" s="47"/>
      <c r="AM38" s="48">
        <f>IF(AM26="nuit",AM29*0.02,0)</f>
        <v>0</v>
      </c>
      <c r="AN38" s="48">
        <f>IF(AN26="nuit",AN29*0.02,0)</f>
        <v>0</v>
      </c>
      <c r="AO38" s="48">
        <f t="shared" ref="AO38:AS38" si="111">IF(AO26="nuit",AO29*0.02,0)</f>
        <v>0</v>
      </c>
      <c r="AP38" s="48">
        <f t="shared" si="111"/>
        <v>0</v>
      </c>
      <c r="AQ38" s="48">
        <f>IF(AQ26="nuit",AQ29*0.02,0)</f>
        <v>0</v>
      </c>
      <c r="AR38" s="48">
        <f t="shared" si="111"/>
        <v>0</v>
      </c>
      <c r="AS38" s="48">
        <f t="shared" si="111"/>
        <v>0</v>
      </c>
      <c r="AT38" s="51">
        <f t="shared" si="106"/>
        <v>0</v>
      </c>
      <c r="AU38" s="47"/>
      <c r="AV38" s="48">
        <f>IF(AV26="nuit",AV29*0.02,0)</f>
        <v>0</v>
      </c>
      <c r="AW38" s="48">
        <f>IF(AW26="nuit",AW29*0.02,0)</f>
        <v>0</v>
      </c>
      <c r="AX38" s="51">
        <f t="shared" si="101"/>
        <v>0</v>
      </c>
      <c r="AY38" s="49">
        <f>J38+S38+AB38+AK38+AT38+AX38</f>
        <v>0.8</v>
      </c>
      <c r="AZ38" s="39"/>
      <c r="BA38" s="39"/>
      <c r="BB38" s="39"/>
      <c r="BC38" s="39"/>
      <c r="BD38" s="39"/>
      <c r="BE38" s="39"/>
      <c r="BF38" s="29"/>
    </row>
    <row r="39" spans="1:59" s="27" customFormat="1" ht="15" customHeight="1">
      <c r="A39" s="50" t="s">
        <v>24</v>
      </c>
      <c r="B39" s="50"/>
      <c r="C39" s="51"/>
      <c r="D39" s="51"/>
      <c r="E39" s="51"/>
      <c r="F39" s="51"/>
      <c r="G39" s="51"/>
      <c r="H39" s="51"/>
      <c r="I39" s="51"/>
      <c r="J39" s="51"/>
      <c r="K39" s="50"/>
      <c r="L39" s="51"/>
      <c r="M39" s="51"/>
      <c r="N39" s="51"/>
      <c r="O39" s="51"/>
      <c r="P39" s="51"/>
      <c r="Q39" s="51"/>
      <c r="R39" s="51"/>
      <c r="S39" s="51"/>
      <c r="T39" s="50"/>
      <c r="U39" s="51"/>
      <c r="V39" s="51"/>
      <c r="W39" s="51"/>
      <c r="X39" s="51"/>
      <c r="Y39" s="51"/>
      <c r="Z39" s="51"/>
      <c r="AA39" s="51"/>
      <c r="AB39" s="51"/>
      <c r="AC39" s="50"/>
      <c r="AD39" s="51"/>
      <c r="AE39" s="51"/>
      <c r="AF39" s="51"/>
      <c r="AG39" s="51"/>
      <c r="AH39" s="51"/>
      <c r="AI39" s="51"/>
      <c r="AJ39" s="51"/>
      <c r="AK39" s="51"/>
      <c r="AL39" s="50"/>
      <c r="AM39" s="51"/>
      <c r="AN39" s="51"/>
      <c r="AO39" s="51"/>
      <c r="AP39" s="51"/>
      <c r="AQ39" s="51"/>
      <c r="AR39" s="51"/>
      <c r="AS39" s="51"/>
      <c r="AT39" s="51"/>
      <c r="AU39" s="50"/>
      <c r="AV39" s="51"/>
      <c r="AW39" s="51"/>
      <c r="AX39" s="51"/>
      <c r="AY39" s="51"/>
      <c r="AZ39" s="25"/>
      <c r="BA39" s="25"/>
      <c r="BB39" s="25"/>
      <c r="BC39" s="25"/>
      <c r="BD39" s="25"/>
      <c r="BE39" s="25"/>
      <c r="BF39" s="25"/>
      <c r="BG39" s="28"/>
    </row>
    <row r="40" spans="1:59" s="99" customFormat="1" ht="15" customHeight="1">
      <c r="A40" s="104" t="s">
        <v>112</v>
      </c>
      <c r="B40" s="105"/>
      <c r="C40" s="106" t="str">
        <f>IF(C25="","",IFERROR(VLOOKUP(B24,[2]DATA!$A$12:$H$16,2,TRUE),0))</f>
        <v/>
      </c>
      <c r="D40" s="106" t="str">
        <f>IF(D25="","",IFERROR(VLOOKUP(B24,[2]DATA!$A$12:$H$16,3,TRUE),0))</f>
        <v/>
      </c>
      <c r="E40" s="106" t="str">
        <f>IF(E25="","",IFERROR(VLOOKUP(B24,[2]DATA!$A$12:$H$16,4,TRUE),0))</f>
        <v/>
      </c>
      <c r="F40" s="106">
        <f>IF(F25="","",IFERROR(VLOOKUP(B24,[2]DATA!$A$12:$H$16,5,TRUE),0))</f>
        <v>1</v>
      </c>
      <c r="G40" s="106">
        <f>IF(G25="","",IFERROR(VLOOKUP(B24,[2]DATA!$A$12:$H$16,6,TRUE),0))</f>
        <v>1</v>
      </c>
      <c r="H40" s="106"/>
      <c r="I40" s="106"/>
      <c r="J40" s="106">
        <f>SUM(C40:G40)</f>
        <v>2</v>
      </c>
      <c r="K40" s="106"/>
      <c r="L40" s="106">
        <f>IF(L25="","",IFERROR(VLOOKUP(K24,[2]DATA!$A$12:$H$16,2,TRUE),0))</f>
        <v>1</v>
      </c>
      <c r="M40" s="106">
        <f>IF(M25="","",IFERROR(VLOOKUP(K24,[2]DATA!$A$12:$H$16,3,TRUE),0))</f>
        <v>1</v>
      </c>
      <c r="N40" s="106">
        <f>IF(N25="","",IFERROR(VLOOKUP(K24,[2]DATA!$A$12:$H$16,4,TRUE),0))</f>
        <v>1</v>
      </c>
      <c r="O40" s="106">
        <f>IF(O25="","",IFERROR(VLOOKUP(K24,[2]DATA!$A$12:$H$16,5,TRUE),0))</f>
        <v>0</v>
      </c>
      <c r="P40" s="106">
        <f>IF(P25="","",IFERROR(VLOOKUP(K24,[2]DATA!$A$12:$H$16,6,TRUE),0))</f>
        <v>0</v>
      </c>
      <c r="Q40" s="106"/>
      <c r="R40" s="106"/>
      <c r="S40" s="106">
        <f>SUM(L40:P40)</f>
        <v>3</v>
      </c>
      <c r="T40" s="106"/>
      <c r="U40" s="106">
        <f>IF(U25="","",IFERROR(VLOOKUP(T24,[2]DATA!$A$12:$H$16,2,TRUE),0))</f>
        <v>1</v>
      </c>
      <c r="V40" s="106">
        <f>IF(V25="","",IFERROR(VLOOKUP(T24,[2]DATA!$A$12:$H$16,3,TRUE),0))</f>
        <v>1</v>
      </c>
      <c r="W40" s="106">
        <f>IF(W25="","",IFERROR(VLOOKUP(T24,[2]DATA!$A$12:$H$16,4,TRUE),0))</f>
        <v>1</v>
      </c>
      <c r="X40" s="106">
        <f>IF(X25="","",IFERROR(VLOOKUP(T24,[2]DATA!$A$12:$H$16,5,TRUE),0))</f>
        <v>1</v>
      </c>
      <c r="Y40" s="106">
        <f>IF(Y25="","",IFERROR(VLOOKUP(T24,[2]DATA!$A$12:$H$16,6,TRUE),0))</f>
        <v>1</v>
      </c>
      <c r="Z40" s="106"/>
      <c r="AA40" s="106"/>
      <c r="AB40" s="106">
        <f>SUM(U40:Y40)</f>
        <v>5</v>
      </c>
      <c r="AC40" s="106"/>
      <c r="AD40" s="106">
        <f>IF(AD25="","",IFERROR(VLOOKUP(AC24,[2]DATA!$A$12:$H$16,2,TRUE),0))</f>
        <v>1</v>
      </c>
      <c r="AE40" s="106">
        <f>IF(AE25="","",IFERROR(VLOOKUP(AC24,[2]DATA!$A$12:$H$16,3,TRUE),0))</f>
        <v>0</v>
      </c>
      <c r="AF40" s="106">
        <f>IF(AF25="","",IFERROR(VLOOKUP(AC24,[2]DATA!$A$12:$H$16,4,TRUE),0))</f>
        <v>0</v>
      </c>
      <c r="AG40" s="106">
        <f>IF(AG25="","",IFERROR(VLOOKUP(AC24,[2]DATA!$A$12:$H$16,5,TRUE),0))</f>
        <v>1</v>
      </c>
      <c r="AH40" s="106">
        <f>IF(AH25="","",IFERROR(VLOOKUP(AC24,[2]DATA!$A$12:$H$16,6,TRUE),0))</f>
        <v>1</v>
      </c>
      <c r="AI40" s="106"/>
      <c r="AJ40" s="106"/>
      <c r="AK40" s="106">
        <f>SUM(AD40:AH40)</f>
        <v>3</v>
      </c>
      <c r="AL40" s="106"/>
      <c r="AM40" s="106">
        <f>IF(AM25="","",IFERROR(VLOOKUP(AL24,[2]DATA!$A$12:$H$16,2,TRUE),0))</f>
        <v>1</v>
      </c>
      <c r="AN40" s="106">
        <f>IF(AN25="","",IFERROR(VLOOKUP(AL24,[2]DATA!$A$12:$H$16,3,TRUE),0))</f>
        <v>1</v>
      </c>
      <c r="AO40" s="106">
        <f>IF(AO25="","",IFERROR(VLOOKUP(AL24,[2]DATA!$A$12:$H$16,4,TRUE),0))</f>
        <v>1</v>
      </c>
      <c r="AP40" s="106" t="str">
        <f>IF(AP25="","",IFERROR(VLOOKUP(AL24,[2]DATA!$A$12:$H$16,5,TRUE),0))</f>
        <v/>
      </c>
      <c r="AQ40" s="106" t="str">
        <f>IF(AQ25="","",IFERROR(VLOOKUP(AL24,[2]DATA!$A$12:$H$16,6,TRUE),0))</f>
        <v/>
      </c>
      <c r="AR40" s="106"/>
      <c r="AS40" s="106"/>
      <c r="AT40" s="106">
        <f>SUM(AM40:AQ40)</f>
        <v>3</v>
      </c>
      <c r="AU40" s="106"/>
      <c r="AV40" s="106" t="str">
        <f>IF(AV25="","",IFERROR(VLOOKUP(AU24,[2]DATA!$A$12:$H$16,2,TRUE),0))</f>
        <v/>
      </c>
      <c r="AW40" s="106" t="str">
        <f>IF(AW25="","",IFERROR(VLOOKUP(AU24,[2]DATA!$A$12:$H$16,3,TRUE),0))</f>
        <v/>
      </c>
      <c r="AX40" s="106">
        <f>SUM(AV40:AW40)</f>
        <v>0</v>
      </c>
      <c r="AY40" s="107"/>
      <c r="AZ40" s="34"/>
      <c r="BA40" s="34"/>
      <c r="BB40" s="34"/>
      <c r="BC40" s="34"/>
      <c r="BD40" s="34"/>
      <c r="BE40" s="34"/>
      <c r="BF40" s="98"/>
    </row>
    <row r="41" spans="1:59" s="99" customFormat="1" ht="15" customHeight="1">
      <c r="A41" s="108" t="s">
        <v>113</v>
      </c>
      <c r="B41" s="109"/>
      <c r="C41" s="53"/>
      <c r="D41" s="53"/>
      <c r="E41" s="53"/>
      <c r="F41" s="53"/>
      <c r="G41" s="53"/>
      <c r="H41" s="53"/>
      <c r="I41" s="53"/>
      <c r="J41" s="53">
        <f>J28-J40</f>
        <v>0</v>
      </c>
      <c r="K41" s="53"/>
      <c r="L41" s="53"/>
      <c r="M41" s="53"/>
      <c r="N41" s="53"/>
      <c r="O41" s="53"/>
      <c r="P41" s="53"/>
      <c r="Q41" s="53"/>
      <c r="R41" s="53"/>
      <c r="S41" s="53">
        <f>S28-S40</f>
        <v>0</v>
      </c>
      <c r="T41" s="53"/>
      <c r="U41" s="53"/>
      <c r="V41" s="53"/>
      <c r="W41" s="53"/>
      <c r="X41" s="53"/>
      <c r="Y41" s="53"/>
      <c r="Z41" s="53"/>
      <c r="AA41" s="53"/>
      <c r="AB41" s="53">
        <f>AB28-AB40</f>
        <v>0</v>
      </c>
      <c r="AC41" s="53"/>
      <c r="AD41" s="53"/>
      <c r="AE41" s="53"/>
      <c r="AF41" s="53"/>
      <c r="AG41" s="53"/>
      <c r="AH41" s="53"/>
      <c r="AI41" s="53"/>
      <c r="AJ41" s="53"/>
      <c r="AK41" s="53">
        <f>AK28-AK40</f>
        <v>0</v>
      </c>
      <c r="AL41" s="53"/>
      <c r="AM41" s="53"/>
      <c r="AN41" s="53"/>
      <c r="AO41" s="53"/>
      <c r="AP41" s="53"/>
      <c r="AQ41" s="53"/>
      <c r="AR41" s="53"/>
      <c r="AS41" s="53"/>
      <c r="AT41" s="53">
        <f>AT28-AT40</f>
        <v>0</v>
      </c>
      <c r="AU41" s="53"/>
      <c r="AV41" s="53"/>
      <c r="AW41" s="53"/>
      <c r="AX41" s="53">
        <f>AX28-AX40</f>
        <v>0</v>
      </c>
      <c r="AY41" s="110">
        <f>AT41+AK41+AB41+S41+J41</f>
        <v>0</v>
      </c>
      <c r="AZ41" s="34"/>
      <c r="BA41" s="34"/>
      <c r="BB41" s="34"/>
      <c r="BC41" s="34"/>
      <c r="BD41" s="34"/>
      <c r="BE41" s="34"/>
      <c r="BF41" s="98"/>
    </row>
    <row r="42" spans="1:59" s="4" customFormat="1" ht="27">
      <c r="A42" s="16"/>
      <c r="B42" s="16"/>
      <c r="C42" s="101" t="s">
        <v>14</v>
      </c>
      <c r="D42" s="101"/>
      <c r="E42" s="101"/>
      <c r="F42" s="101"/>
      <c r="G42" s="101"/>
      <c r="H42" s="112">
        <f>Année_Calendaire</f>
        <v>2018</v>
      </c>
      <c r="I42" s="112"/>
      <c r="J42" s="94"/>
      <c r="K42" s="43"/>
      <c r="L42" s="102"/>
      <c r="M42" s="102"/>
      <c r="N42" s="102"/>
      <c r="O42" s="102"/>
      <c r="P42" s="102"/>
      <c r="Q42" s="102"/>
      <c r="R42" s="102"/>
      <c r="S42" s="36"/>
      <c r="T42" s="43"/>
      <c r="U42" s="101" t="s">
        <v>14</v>
      </c>
      <c r="V42" s="101"/>
      <c r="W42" s="101"/>
      <c r="X42" s="101"/>
      <c r="Y42" s="101"/>
      <c r="Z42" s="112">
        <f>Année_Calendaire</f>
        <v>2018</v>
      </c>
      <c r="AA42" s="112"/>
      <c r="AB42" s="36"/>
      <c r="AC42" s="43"/>
      <c r="AD42" s="102"/>
      <c r="AE42" s="102"/>
      <c r="AF42" s="102"/>
      <c r="AG42" s="102"/>
      <c r="AH42" s="102"/>
      <c r="AI42" s="102"/>
      <c r="AJ42" s="102"/>
      <c r="AK42" s="36"/>
      <c r="AL42" s="43"/>
      <c r="AM42" s="101" t="s">
        <v>14</v>
      </c>
      <c r="AN42" s="101"/>
      <c r="AO42" s="101"/>
      <c r="AP42" s="101"/>
      <c r="AQ42" s="101"/>
      <c r="AR42" s="112">
        <f>Année_Calendaire</f>
        <v>2018</v>
      </c>
      <c r="AS42" s="112"/>
      <c r="AT42" s="36"/>
      <c r="AU42" s="43"/>
      <c r="AV42" s="25"/>
      <c r="AW42" s="25"/>
      <c r="AX42" s="36"/>
      <c r="AY42" s="34"/>
      <c r="AZ42" s="34"/>
      <c r="BA42" s="34"/>
      <c r="BB42" s="34"/>
      <c r="BC42" s="34"/>
      <c r="BD42" s="34"/>
      <c r="BE42" s="34"/>
      <c r="BF42" s="29"/>
    </row>
    <row r="43" spans="1:59" s="22" customFormat="1" ht="29.25" customHeight="1">
      <c r="A43" s="35"/>
      <c r="B43" s="54" t="str">
        <f>IF(C43="",AU24,LEFT(AU24)&amp;MOD(RIGHT(AU24),4)+1)</f>
        <v>c4</v>
      </c>
      <c r="C43" s="100" t="str">
        <f>IF(C44&lt;&gt;"","Lun","")</f>
        <v/>
      </c>
      <c r="D43" s="100" t="str">
        <f>IF(D44&lt;&gt;"","Mar","")</f>
        <v/>
      </c>
      <c r="E43" s="100" t="str">
        <f>IF(E44&lt;&gt;"","Mer","")</f>
        <v/>
      </c>
      <c r="F43" s="100" t="str">
        <f>IF(F44&lt;&gt;"","Jeu","")</f>
        <v>Jeu</v>
      </c>
      <c r="G43" s="100" t="str">
        <f>IF(G44&lt;&gt;"","Ven","")</f>
        <v>Ven</v>
      </c>
      <c r="H43" s="100" t="str">
        <f>IF(H44&lt;&gt;"","Sam","")</f>
        <v>Sam</v>
      </c>
      <c r="I43" s="100" t="str">
        <f>IF(I44&lt;&gt;"","Dim","")</f>
        <v>Dim</v>
      </c>
      <c r="J43" s="113" t="s">
        <v>25</v>
      </c>
      <c r="K43" s="54" t="str">
        <f>IF(L43="",LEFT(B43)&amp;MOD(RIGHT(B43),5),LEFT(B43)&amp;MOD(RIGHT(B43),4)+1)</f>
        <v>c1</v>
      </c>
      <c r="L43" s="100" t="str">
        <f>IF(L44&lt;&gt;"","Lun","")</f>
        <v>Lun</v>
      </c>
      <c r="M43" s="100" t="str">
        <f>IF(M44&lt;&gt;"","Mar","")</f>
        <v>Mar</v>
      </c>
      <c r="N43" s="100" t="str">
        <f>IF(N44&lt;&gt;"","Mer","")</f>
        <v>Mer</v>
      </c>
      <c r="O43" s="100" t="str">
        <f>IF(O44&lt;&gt;"","Jeu","")</f>
        <v>Jeu</v>
      </c>
      <c r="P43" s="100" t="str">
        <f>IF(P44&lt;&gt;"","Ven","")</f>
        <v>Ven</v>
      </c>
      <c r="Q43" s="100" t="str">
        <f>IF(Q44&lt;&gt;"","Sam","")</f>
        <v>Sam</v>
      </c>
      <c r="R43" s="100" t="str">
        <f>IF(R44&lt;&gt;"","Dim","")</f>
        <v>Dim</v>
      </c>
      <c r="S43" s="113" t="s">
        <v>25</v>
      </c>
      <c r="T43" s="54" t="str">
        <f>IF(U43="",LEFT(K43)&amp;MOD(RIGHT(K43),5),LEFT(K43)&amp;MOD(RIGHT(K43),4)+1)</f>
        <v>c2</v>
      </c>
      <c r="U43" s="100" t="str">
        <f>IF(U44&lt;&gt;"","Lun","")</f>
        <v>Lun</v>
      </c>
      <c r="V43" s="100" t="str">
        <f>IF(V44&lt;&gt;"","Mar","")</f>
        <v>Mar</v>
      </c>
      <c r="W43" s="100" t="str">
        <f>IF(W44&lt;&gt;"","Mer","")</f>
        <v>Mer</v>
      </c>
      <c r="X43" s="100" t="str">
        <f>IF(X44&lt;&gt;"","Jeu","")</f>
        <v>Jeu</v>
      </c>
      <c r="Y43" s="100" t="str">
        <f>IF(Y44&lt;&gt;"","Ven","")</f>
        <v>Ven</v>
      </c>
      <c r="Z43" s="100" t="str">
        <f>IF(Z44&lt;&gt;"","Sam","")</f>
        <v>Sam</v>
      </c>
      <c r="AA43" s="100" t="str">
        <f>IF(AA44&lt;&gt;"","Dim","")</f>
        <v>Dim</v>
      </c>
      <c r="AB43" s="113" t="s">
        <v>25</v>
      </c>
      <c r="AC43" s="54" t="str">
        <f>IF(AD43="",LEFT(T43)&amp;MOD(RIGHT(T43),5),LEFT(T43)&amp;MOD(RIGHT(T43),4)+1)</f>
        <v>c3</v>
      </c>
      <c r="AD43" s="100" t="str">
        <f>IF(AD44&lt;&gt;"","Lun","")</f>
        <v>Lun</v>
      </c>
      <c r="AE43" s="100" t="str">
        <f>IF(AE44&lt;&gt;"","Mar","")</f>
        <v>Mar</v>
      </c>
      <c r="AF43" s="100" t="str">
        <f>IF(AF44&lt;&gt;"","Mer","")</f>
        <v>Mer</v>
      </c>
      <c r="AG43" s="100" t="str">
        <f>IF(AG44&lt;&gt;"","Jeu","")</f>
        <v>Jeu</v>
      </c>
      <c r="AH43" s="100" t="str">
        <f>IF(AH44&lt;&gt;"","Ven","")</f>
        <v>Ven</v>
      </c>
      <c r="AI43" s="100" t="str">
        <f>IF(AI44&lt;&gt;"","Sam","")</f>
        <v>Sam</v>
      </c>
      <c r="AJ43" s="100" t="str">
        <f>IF(AJ44&lt;&gt;"","Dim","")</f>
        <v>Dim</v>
      </c>
      <c r="AK43" s="113" t="s">
        <v>25</v>
      </c>
      <c r="AL43" s="54" t="str">
        <f>IF(AM43="",LEFT(AC43)&amp;MOD(RIGHT(AC43),5),LEFT(AC43)&amp;MOD(RIGHT(AC43),4)+1)</f>
        <v>c4</v>
      </c>
      <c r="AM43" s="100" t="str">
        <f>IF(AM44&lt;&gt;"","Lun","")</f>
        <v>Lun</v>
      </c>
      <c r="AN43" s="100" t="str">
        <f>IF(AN44&lt;&gt;"","Mar","")</f>
        <v>Mar</v>
      </c>
      <c r="AO43" s="100" t="str">
        <f>IF(AO44&lt;&gt;"","Mer","")</f>
        <v>Mer</v>
      </c>
      <c r="AP43" s="100" t="str">
        <f>IF(AP44&lt;&gt;"","Jeu","")</f>
        <v>Jeu</v>
      </c>
      <c r="AQ43" s="100" t="str">
        <f>IF(AQ44&lt;&gt;"","Ven","")</f>
        <v>Ven</v>
      </c>
      <c r="AR43" s="100" t="str">
        <f>IF(AR44&lt;&gt;"","Sam","")</f>
        <v>Sam</v>
      </c>
      <c r="AS43" s="100" t="str">
        <f>IF(AS44&lt;&gt;"","Dim","")</f>
        <v/>
      </c>
      <c r="AT43" s="113" t="s">
        <v>25</v>
      </c>
      <c r="AU43" s="54" t="str">
        <f>IF(AV43="",LEFT(AL43)&amp;MOD(RIGHT(AL43),5),LEFT(AL43)&amp;MOD(RIGHT(AL43),4)+1)</f>
        <v>c4</v>
      </c>
      <c r="AV43" s="52" t="str">
        <f>IF(AV44&lt;&gt;"","Lun","")</f>
        <v/>
      </c>
      <c r="AW43" s="52" t="str">
        <f>IF(AW44&lt;&gt;"","Mar","")</f>
        <v/>
      </c>
      <c r="AX43" s="113" t="s">
        <v>25</v>
      </c>
      <c r="AY43" s="113" t="s">
        <v>28</v>
      </c>
      <c r="AZ43" s="114">
        <f>AY50+AY51+AY52</f>
        <v>0</v>
      </c>
      <c r="BA43" s="114">
        <f>AZ43+BA24</f>
        <v>0</v>
      </c>
      <c r="BB43" s="38"/>
      <c r="BC43" s="38"/>
      <c r="BD43" s="38"/>
      <c r="BE43" s="38"/>
      <c r="BF43" s="33"/>
    </row>
    <row r="44" spans="1:59" s="24" customFormat="1" ht="15" customHeight="1">
      <c r="A44" s="10"/>
      <c r="B44" s="53"/>
      <c r="C44" s="85" t="str">
        <f>IF(DAY(Mar_Dim1)=1,"",IF(AND(YEAR(Mar_Dim1+1)=Année_Calendaire,MONTH(Mar_Dim1+1)=3),Mar_Dim1+1,""))</f>
        <v/>
      </c>
      <c r="D44" s="85" t="str">
        <f>IF(DAY(Mar_Dim1)=1,"",IF(AND(YEAR(Mar_Dim1+2)=Année_Calendaire,MONTH(Mar_Dim1+2)=3),Mar_Dim1+2,""))</f>
        <v/>
      </c>
      <c r="E44" s="85" t="str">
        <f>IF(DAY(Mar_Dim1)=1,"",IF(AND(YEAR(Mar_Dim1+3)=Année_Calendaire,MONTH(Mar_Dim1+3)=3),Mar_Dim1+3,""))</f>
        <v/>
      </c>
      <c r="F44" s="85">
        <f>IF(DAY(Mar_Dim1)=1,"",IF(AND(YEAR(Mar_Dim1+4)=Année_Calendaire,MONTH(Mar_Dim1+4)=3),Mar_Dim1+4,""))</f>
        <v>43160</v>
      </c>
      <c r="G44" s="85">
        <f>IF(DAY(Mar_Dim1)=1,"",IF(AND(YEAR(Mar_Dim1+5)=Année_Calendaire,MONTH(Mar_Dim1+5)=3),Mar_Dim1+5,""))</f>
        <v>43161</v>
      </c>
      <c r="H44" s="85">
        <f>IF(DAY(Mar_Dim1)=1,"",IF(AND(YEAR(Mar_Dim1+6)=Année_Calendaire,MONTH(Mar_Dim1+6)=3),Mar_Dim1+6,""))</f>
        <v>43162</v>
      </c>
      <c r="I44" s="85">
        <f>IF(DAY(Mar_Dim1)=1,IF(AND(YEAR(Mar_Dim1)=Année_Calendaire,MONTH(Mar_Dim1)=3),Mar_Dim1,""),IF(AND(YEAR(Mar_Dim1+7)=Année_Calendaire,MONTH(Mar_Dim1+7)=3),Mar_Dim1+7,""))</f>
        <v>43163</v>
      </c>
      <c r="J44" s="113"/>
      <c r="K44" s="53"/>
      <c r="L44" s="85">
        <f>IF(DAY(Mar_Dim1)=1,IF(AND(YEAR(Mar_Dim1+1)=Année_Calendaire,MONTH(Mar_Dim1+1)=3),Mar_Dim1+1,""),IF(AND(YEAR(Mar_Dim1+8)=Année_Calendaire,MONTH(Mar_Dim1+8)=3),Mar_Dim1+8,""))</f>
        <v>43164</v>
      </c>
      <c r="M44" s="85">
        <f>IF(DAY(Mar_Dim1)=1,IF(AND(YEAR(Mar_Dim1+2)=Année_Calendaire,MONTH(Mar_Dim1+2)=3),Mar_Dim1+2,""),IF(AND(YEAR(Mar_Dim1+9)=Année_Calendaire,MONTH(Mar_Dim1+9)=3),Mar_Dim1+9,""))</f>
        <v>43165</v>
      </c>
      <c r="N44" s="85">
        <f>IF(DAY(Mar_Dim1)=1,IF(AND(YEAR(Mar_Dim1+3)=Année_Calendaire,MONTH(Mar_Dim1+3)=3),Mar_Dim1+3,""),IF(AND(YEAR(Mar_Dim1+10)=Année_Calendaire,MONTH(Mar_Dim1+10)=3),Mar_Dim1+10,""))</f>
        <v>43166</v>
      </c>
      <c r="O44" s="85">
        <f>IF(DAY(Mar_Dim1)=1,IF(AND(YEAR(Mar_Dim1+4)=Année_Calendaire,MONTH(Mar_Dim1+4)=3),Mar_Dim1+4,""),IF(AND(YEAR(Mar_Dim1+11)=Année_Calendaire,MONTH(Mar_Dim1+11)=3),Mar_Dim1+11,""))</f>
        <v>43167</v>
      </c>
      <c r="P44" s="85">
        <f>IF(DAY(Mar_Dim1)=1,IF(AND(YEAR(Mar_Dim1+5)=Année_Calendaire,MONTH(Mar_Dim1+5)=3),Mar_Dim1+5,""),IF(AND(YEAR(Mar_Dim1+12)=Année_Calendaire,MONTH(Mar_Dim1+12)=3),Mar_Dim1+12,""))</f>
        <v>43168</v>
      </c>
      <c r="Q44" s="85">
        <f>IF(DAY(Mar_Dim1)=1,IF(AND(YEAR(Mar_Dim1+6)=Année_Calendaire,MONTH(Mar_Dim1+6)=3),Mar_Dim1+6,""),IF(AND(YEAR(Mar_Dim1+13)=Année_Calendaire,MONTH(Mar_Dim1+13)=3),Mar_Dim1+13,""))</f>
        <v>43169</v>
      </c>
      <c r="R44" s="85">
        <f>IF(DAY(Mar_Dim1)=1,IF(AND(YEAR(Mar_Dim1+7)=Année_Calendaire,MONTH(Mar_Dim1+7)=3),Mar_Dim1+7,""),IF(AND(YEAR(Mar_Dim1+14)=Année_Calendaire,MONTH(Mar_Dim1+14)=3),Mar_Dim1+14,""))</f>
        <v>43170</v>
      </c>
      <c r="S44" s="113"/>
      <c r="T44" s="53"/>
      <c r="U44" s="85">
        <f>IF(DAY(Mar_Dim1)=1,IF(AND(YEAR(Mar_Dim1+8)=Année_Calendaire,MONTH(Mar_Dim1+8)=3),Mar_Dim1+8,""),IF(AND(YEAR(Mar_Dim1+15)=Année_Calendaire,MONTH(Mar_Dim1+15)=3),Mar_Dim1+15,""))</f>
        <v>43171</v>
      </c>
      <c r="V44" s="85">
        <f>IF(DAY(Mar_Dim1)=1,IF(AND(YEAR(Mar_Dim1+9)=Année_Calendaire,MONTH(Mar_Dim1+9)=3),Mar_Dim1+9,""),IF(AND(YEAR(Mar_Dim1+16)=Année_Calendaire,MONTH(Mar_Dim1+16)=3),Mar_Dim1+16,""))</f>
        <v>43172</v>
      </c>
      <c r="W44" s="85">
        <f>IF(DAY(Mar_Dim1)=1,IF(AND(YEAR(Mar_Dim1+10)=Année_Calendaire,MONTH(Mar_Dim1+10)=3),Mar_Dim1+10,""),IF(AND(YEAR(Mar_Dim1+17)=Année_Calendaire,MONTH(Mar_Dim1+17)=3),Mar_Dim1+17,""))</f>
        <v>43173</v>
      </c>
      <c r="X44" s="85">
        <f>IF(DAY(Mar_Dim1)=1,IF(AND(YEAR(Mar_Dim1+11)=Année_Calendaire,MONTH(Mar_Dim1+11)=3),Mar_Dim1+11,""),IF(AND(YEAR(Mar_Dim1+18)=Année_Calendaire,MONTH(Mar_Dim1+18)=3),Mar_Dim1+18,""))</f>
        <v>43174</v>
      </c>
      <c r="Y44" s="85">
        <f>IF(DAY(Mar_Dim1)=1,IF(AND(YEAR(Mar_Dim1+12)=Année_Calendaire,MONTH(Mar_Dim1+12)=3),Mar_Dim1+12,""),IF(AND(YEAR(Mar_Dim1+19)=Année_Calendaire,MONTH(Mar_Dim1+19)=3),Mar_Dim1+19,""))</f>
        <v>43175</v>
      </c>
      <c r="Z44" s="85">
        <f>IF(DAY(Mar_Dim1)=1,IF(AND(YEAR(Mar_Dim1+13)=Année_Calendaire,MONTH(Mar_Dim1+13)=3),Mar_Dim1+13,""),IF(AND(YEAR(Mar_Dim1+20)=Année_Calendaire,MONTH(Mar_Dim1+20)=3),Mar_Dim1+20,""))</f>
        <v>43176</v>
      </c>
      <c r="AA44" s="85">
        <f>IF(DAY(Mar_Dim1)=1,IF(AND(YEAR(Mar_Dim1+14)=Année_Calendaire,MONTH(Mar_Dim1+14)=3),Mar_Dim1+14,""),IF(AND(YEAR(Mar_Dim1+21)=Année_Calendaire,MONTH(Mar_Dim1+21)=3),Mar_Dim1+21,""))</f>
        <v>43177</v>
      </c>
      <c r="AB44" s="113"/>
      <c r="AC44" s="53"/>
      <c r="AD44" s="85">
        <f>IF(DAY(Mar_Dim1)=1,IF(AND(YEAR(Mar_Dim1+15)=Année_Calendaire,MONTH(Mar_Dim1+15)=3),Mar_Dim1+15,""),IF(AND(YEAR(Mar_Dim1+22)=Année_Calendaire,MONTH(Mar_Dim1+22)=3),Mar_Dim1+22,""))</f>
        <v>43178</v>
      </c>
      <c r="AE44" s="85">
        <f>IF(DAY(Mar_Dim1)=1,IF(AND(YEAR(Mar_Dim1+16)=Année_Calendaire,MONTH(Mar_Dim1+16)=3),Mar_Dim1+16,""),IF(AND(YEAR(Mar_Dim1+23)=Année_Calendaire,MONTH(Mar_Dim1+23)=3),Mar_Dim1+23,""))</f>
        <v>43179</v>
      </c>
      <c r="AF44" s="85">
        <f>IF(DAY(Mar_Dim1)=1,IF(AND(YEAR(Mar_Dim1+17)=Année_Calendaire,MONTH(Mar_Dim1+17)=3),Mar_Dim1+17,""),IF(AND(YEAR(Mar_Dim1+24)=Année_Calendaire,MONTH(Mar_Dim1+24)=3),Mar_Dim1+24,""))</f>
        <v>43180</v>
      </c>
      <c r="AG44" s="85">
        <f>IF(DAY(Mar_Dim1)=1,IF(AND(YEAR(Mar_Dim1+18)=Année_Calendaire,MONTH(Mar_Dim1+18)=3),Mar_Dim1+18,""),IF(AND(YEAR(Mar_Dim1+25)=Année_Calendaire,MONTH(Mar_Dim1+25)=3),Mar_Dim1+25,""))</f>
        <v>43181</v>
      </c>
      <c r="AH44" s="85">
        <f>IF(DAY(Mar_Dim1)=1,IF(AND(YEAR(Mar_Dim1+19)=Année_Calendaire,MONTH(Mar_Dim1+19)=3),Mar_Dim1+19,""),IF(AND(YEAR(Mar_Dim1+26)=Année_Calendaire,MONTH(Mar_Dim1+26)=3),Mar_Dim1+26,""))</f>
        <v>43182</v>
      </c>
      <c r="AI44" s="85">
        <f>IF(DAY(Mar_Dim1)=1,IF(AND(YEAR(Mar_Dim1+20)=Année_Calendaire,MONTH(Mar_Dim1+20)=3),Mar_Dim1+20,""),IF(AND(YEAR(Mar_Dim1+27)=Année_Calendaire,MONTH(Mar_Dim1+27)=3),Mar_Dim1+27,""))</f>
        <v>43183</v>
      </c>
      <c r="AJ44" s="85">
        <f>IF(DAY(Mar_Dim1)=1,IF(AND(YEAR(Mar_Dim1+21)=Année_Calendaire,MONTH(Mar_Dim1+21)=3),Mar_Dim1+21,""),IF(AND(YEAR(Mar_Dim1+28)=Année_Calendaire,MONTH(Mar_Dim1+28)=3),Mar_Dim1+28,""))</f>
        <v>43184</v>
      </c>
      <c r="AK44" s="113"/>
      <c r="AL44" s="53"/>
      <c r="AM44" s="85">
        <f>IF(DAY(Mar_Dim1)=1,IF(AND(YEAR(Mar_Dim1+22)=Année_Calendaire,MONTH(Mar_Dim1+22)=3),Mar_Dim1+22,""),IF(AND(YEAR(Mar_Dim1+29)=Année_Calendaire,MONTH(Mar_Dim1+29)=3),Mar_Dim1+29,""))</f>
        <v>43185</v>
      </c>
      <c r="AN44" s="85">
        <f>IF(DAY(Mar_Dim1)=1,IF(AND(YEAR(Mar_Dim1+23)=Année_Calendaire,MONTH(Mar_Dim1+23)=3),Mar_Dim1+23,""),IF(AND(YEAR(Mar_Dim1+30)=Année_Calendaire,MONTH(Mar_Dim1+30)=3),Mar_Dim1+30,""))</f>
        <v>43186</v>
      </c>
      <c r="AO44" s="85">
        <f>IF(DAY(Mar_Dim1)=1,IF(AND(YEAR(Mar_Dim1+24)=Année_Calendaire,MONTH(Mar_Dim1+24)=3),Mar_Dim1+24,""),IF(AND(YEAR(Mar_Dim1+31)=Année_Calendaire,MONTH(Mar_Dim1+31)=3),Mar_Dim1+31,""))</f>
        <v>43187</v>
      </c>
      <c r="AP44" s="85">
        <f>IF(DAY(Mar_Dim1)=1,IF(AND(YEAR(Mar_Dim1+25)=Année_Calendaire,MONTH(Mar_Dim1+25)=3),Mar_Dim1+25,""),IF(AND(YEAR(Mar_Dim1+32)=Année_Calendaire,MONTH(Mar_Dim1+32)=3),Mar_Dim1+32,""))</f>
        <v>43188</v>
      </c>
      <c r="AQ44" s="85">
        <f>IF(DAY(Mar_Dim1)=1,IF(AND(YEAR(Mar_Dim1+26)=Année_Calendaire,MONTH(Mar_Dim1+26)=3),Mar_Dim1+26,""),IF(AND(YEAR(Mar_Dim1+33)=Année_Calendaire,MONTH(Mar_Dim1+33)=3),Mar_Dim1+33,""))</f>
        <v>43189</v>
      </c>
      <c r="AR44" s="85">
        <f>IF(DAY(Mar_Dim1)=1,IF(AND(YEAR(Mar_Dim1+27)=Année_Calendaire,MONTH(Mar_Dim1+27)=3),Mar_Dim1+27,""),IF(AND(YEAR(Mar_Dim1+34)=Année_Calendaire,MONTH(Mar_Dim1+34)=3),Mar_Dim1+34,""))</f>
        <v>43190</v>
      </c>
      <c r="AS44" s="85" t="str">
        <f>IF(DAY(Mar_Dim1)=1,IF(AND(YEAR(Mar_Dim1+28)=Année_Calendaire,MONTH(Mar_Dim1+28)=3),Mar_Dim1+28,""),IF(AND(YEAR(Mar_Dim1+35)=Année_Calendaire,MONTH(Mar_Dim1+35)=3),Mar_Dim1+35,""))</f>
        <v/>
      </c>
      <c r="AT44" s="113"/>
      <c r="AU44" s="53"/>
      <c r="AV44" s="53" t="str">
        <f>IF(DAY(Mar_Dim1)=1,IF(AND(YEAR(Mar_Dim1+29)=Année_Calendaire,MONTH(Mar_Dim1+29)=3),Mar_Dim1+29,""),IF(AND(YEAR(Mar_Dim1+36)=Année_Calendaire,MONTH(Mar_Dim1+36)=3),Mar_Dim1+36,""))</f>
        <v/>
      </c>
      <c r="AW44" s="53" t="str">
        <f>IF(DAY(Mar_Dim1)=1,IF(AND(YEAR(Mar_Dim1+30)=Année_Calendaire,MONTH(Mar_Dim1+30)=3),Mar_Dim1+30,""),IF(AND(YEAR(Mar_Dim1+37)=Année_Calendaire,MONTH(Mar_Dim1+37)=3),Mar_Dim1+37,""))</f>
        <v/>
      </c>
      <c r="AX44" s="113"/>
      <c r="AY44" s="113"/>
      <c r="AZ44" s="114"/>
      <c r="BA44" s="114"/>
      <c r="BB44" s="31"/>
      <c r="BC44" s="31"/>
      <c r="BD44" s="31"/>
      <c r="BE44" s="31"/>
      <c r="BF44" s="23"/>
    </row>
    <row r="45" spans="1:59" s="5" customFormat="1" ht="15" customHeight="1">
      <c r="A45" s="47" t="s">
        <v>2</v>
      </c>
      <c r="B45" s="47"/>
      <c r="C45" s="48" t="str">
        <f>IF(C44="","",IFERROR(VLOOKUP(B43,DATA!$A$5:$H$9,2,TRUE),0))</f>
        <v/>
      </c>
      <c r="D45" s="48" t="str">
        <f>IF(D44="","",IFERROR(VLOOKUP(B43,DATA!$A$5:$H$9,3,TRUE),0))</f>
        <v/>
      </c>
      <c r="E45" s="48" t="str">
        <f>IF(E44="","",IFERROR(VLOOKUP(B43,DATA!$A$5:$H$9,4,TRUE),0))</f>
        <v/>
      </c>
      <c r="F45" s="48" t="str">
        <f>IF(F44="","",IFERROR(VLOOKUP(B43,DATA!$A$5:$H$9,5,TRUE),0))</f>
        <v>am</v>
      </c>
      <c r="G45" s="48" t="str">
        <f>IF(G44="","",IFERROR(VLOOKUP(B43,DATA!$A$5:$H$9,6,TRUE),0))</f>
        <v>am</v>
      </c>
      <c r="H45" s="48">
        <f>IF(H44="","",IFERROR(VLOOKUP(B43,DATA!$A$5:$H$9,7,TRUE),0))</f>
        <v>0</v>
      </c>
      <c r="I45" s="48">
        <f>IF(I44="","",IFERROR(VLOOKUP(B43,DATA!$A$5:$H$9,8,TRUE),0))</f>
        <v>0</v>
      </c>
      <c r="J45" s="51">
        <f>IF(B43="c1",24,IF((B43="c3"),24,40))</f>
        <v>40</v>
      </c>
      <c r="K45" s="47"/>
      <c r="L45" s="48" t="str">
        <f>IF(L44="","",IFERROR(VLOOKUP(K43,DATA!$A$5:$H$9,2,TRUE),0))</f>
        <v>matin</v>
      </c>
      <c r="M45" s="48" t="str">
        <f>IF(M44="","",IFERROR(VLOOKUP(K43,DATA!$A$5:$H$9,3,TRUE),0))</f>
        <v>matin</v>
      </c>
      <c r="N45" s="48" t="str">
        <f>IF(N44="","",IFERROR(VLOOKUP(K43,DATA!$A$5:$H$9,4,TRUE),0))</f>
        <v>matin</v>
      </c>
      <c r="O45" s="48">
        <f>IF(O44="","",IFERROR(VLOOKUP(K43,DATA!$A$5:$H$9,5,TRUE),0))</f>
        <v>0</v>
      </c>
      <c r="P45" s="48">
        <f>IF(P44="","",IFERROR(VLOOKUP(K43,DATA!$A$5:$H$9,6,TRUE),0))</f>
        <v>0</v>
      </c>
      <c r="Q45" s="48">
        <f>IF(Q44="","",IFERROR(VLOOKUP(K43,DATA!$A$5:$H$9,7,TRUE),0))</f>
        <v>0</v>
      </c>
      <c r="R45" s="48">
        <f>IF(R44="","",IFERROR(VLOOKUP(K43,DATA!$A$5:$H$9,8,TRUE),0))</f>
        <v>0</v>
      </c>
      <c r="S45" s="51">
        <f>IF(K43="c1",24,IF((K43="c3"),24,40))</f>
        <v>24</v>
      </c>
      <c r="T45" s="47"/>
      <c r="U45" s="48" t="str">
        <f>IF(U44="","",IFERROR(VLOOKUP(T43,DATA!$A$5:$H$9,2,TRUE),0))</f>
        <v>nuit</v>
      </c>
      <c r="V45" s="48" t="str">
        <f>IF(V44="","",IFERROR(VLOOKUP(T43,DATA!$A$5:$H$9,3,TRUE),0))</f>
        <v>nuit</v>
      </c>
      <c r="W45" s="48" t="str">
        <f>IF(W44="","",IFERROR(VLOOKUP(T43,DATA!$A$5:$H$9,4,TRUE),0))</f>
        <v>nuit</v>
      </c>
      <c r="X45" s="48" t="str">
        <f>IF(X44="","",IFERROR(VLOOKUP(T43,DATA!$A$5:$H$9,5,TRUE),0))</f>
        <v>nuit</v>
      </c>
      <c r="Y45" s="48" t="str">
        <f>IF(Y44="","",IFERROR(VLOOKUP(T43,DATA!$A$5:$H$9,6,TRUE),0))</f>
        <v>nuit</v>
      </c>
      <c r="Z45" s="48">
        <f>IF(Z44="","",IFERROR(VLOOKUP(T43,DATA!$A$5:$H$9,7,TRUE),0))</f>
        <v>0</v>
      </c>
      <c r="AA45" s="48">
        <f>IF(AA44="","",IFERROR(VLOOKUP(T43,DATA!$A$5:$H$9,8,TRUE),0))</f>
        <v>0</v>
      </c>
      <c r="AB45" s="51">
        <f>IF(T43="c1",24,IF((T43="c3"),24,40))</f>
        <v>40</v>
      </c>
      <c r="AC45" s="47"/>
      <c r="AD45" s="48" t="str">
        <f>IF(AD44="","",IFERROR(VLOOKUP(AC43,DATA!$A$5:$H$9,2,TRUE),0))</f>
        <v>matin</v>
      </c>
      <c r="AE45" s="48">
        <f>IF(AE44="","",IFERROR(VLOOKUP(AC43,DATA!$A$5:$H$9,3,TRUE),0))</f>
        <v>0</v>
      </c>
      <c r="AF45" s="48">
        <f>IF(AF44="","",IFERROR(VLOOKUP(AC43,DATA!$A$5:$H$9,4,TRUE),0))</f>
        <v>0</v>
      </c>
      <c r="AG45" s="48" t="str">
        <f>IF(AG44="","",IFERROR(VLOOKUP(AC43,DATA!$A$5:$H$9,5,TRUE),0))</f>
        <v>matin</v>
      </c>
      <c r="AH45" s="48" t="str">
        <f>IF(AH44="","",IFERROR(VLOOKUP(AC43,DATA!$A$5:$H$9,6,TRUE),0))</f>
        <v>matin</v>
      </c>
      <c r="AI45" s="48">
        <f>IF(AI44="","",IFERROR(VLOOKUP(AC43,DATA!$A$5:$H$9,7,TRUE),0))</f>
        <v>0</v>
      </c>
      <c r="AJ45" s="48">
        <f>IF(AJ44="","",IFERROR(VLOOKUP(AC43,DATA!$A$5:$H$9,8,TRUE),0))</f>
        <v>0</v>
      </c>
      <c r="AK45" s="51">
        <f>IF(AC43="c1",24,IF((AC43="c3"),24,40))</f>
        <v>24</v>
      </c>
      <c r="AL45" s="47"/>
      <c r="AM45" s="48" t="str">
        <f>IF(AM44="","",IFERROR(VLOOKUP(AL43,DATA!$A$5:$H$9,2,TRUE),0))</f>
        <v>am</v>
      </c>
      <c r="AN45" s="48" t="str">
        <f>IF(AN44="","",IFERROR(VLOOKUP(AL43,DATA!$A$5:$H$9,3,TRUE),0))</f>
        <v>am</v>
      </c>
      <c r="AO45" s="48" t="str">
        <f>IF(AO44="","",IFERROR(VLOOKUP(AL43,DATA!$A$5:$H$9,4,TRUE),0))</f>
        <v>am</v>
      </c>
      <c r="AP45" s="48" t="str">
        <f>IF(AP44="","",IFERROR(VLOOKUP(AL43,DATA!$A$5:$H$9,5,TRUE),0))</f>
        <v>am</v>
      </c>
      <c r="AQ45" s="48" t="str">
        <f>IF(AQ44="","",IFERROR(VLOOKUP(AL43,DATA!$A$5:$H$9,6,TRUE),0))</f>
        <v>am</v>
      </c>
      <c r="AR45" s="48">
        <f>IF(AR44="","",IFERROR(VLOOKUP(AL43,DATA!$A$5:$H$9,7,TRUE),0))</f>
        <v>0</v>
      </c>
      <c r="AS45" s="48" t="str">
        <f>IF(AS44="","",IFERROR(VLOOKUP(AL43,DATA!$A$5:$H$9,8,TRUE),0))</f>
        <v/>
      </c>
      <c r="AT45" s="51">
        <f>IF(AL43="c1",24,IF((AL43="c3"),24,40))</f>
        <v>40</v>
      </c>
      <c r="AU45" s="47"/>
      <c r="AV45" s="48" t="str">
        <f>IF(AV44="","",IFERROR(VLOOKUP(AU43,DATA!$A$5:$H$9,2,TRUE),0))</f>
        <v/>
      </c>
      <c r="AW45" s="48" t="str">
        <f>IF(AW44="","",IFERROR(VLOOKUP(AU43,DATA!$A$5:$H$9,3,TRUE),0))</f>
        <v/>
      </c>
      <c r="AX45" s="51">
        <f>IF(AP43="c1",24,IF((AP43="c3"),24,40))</f>
        <v>40</v>
      </c>
      <c r="AY45" s="49"/>
      <c r="AZ45" s="39"/>
      <c r="BA45" s="39"/>
      <c r="BB45" s="39"/>
      <c r="BC45" s="39"/>
      <c r="BD45" s="39"/>
      <c r="BE45" s="39"/>
      <c r="BF45" s="29"/>
    </row>
    <row r="46" spans="1:59" s="27" customFormat="1" ht="15" customHeight="1">
      <c r="A46" s="50" t="s">
        <v>12</v>
      </c>
      <c r="B46" s="50"/>
      <c r="C46" s="51">
        <f t="shared" ref="C46:I46" si="112">IF(C45="Matin",1,IF(C45="AM",1,0))</f>
        <v>0</v>
      </c>
      <c r="D46" s="51">
        <f t="shared" si="112"/>
        <v>0</v>
      </c>
      <c r="E46" s="51">
        <f t="shared" si="112"/>
        <v>0</v>
      </c>
      <c r="F46" s="51">
        <f t="shared" si="112"/>
        <v>1</v>
      </c>
      <c r="G46" s="51">
        <f t="shared" si="112"/>
        <v>1</v>
      </c>
      <c r="H46" s="51">
        <f t="shared" si="112"/>
        <v>0</v>
      </c>
      <c r="I46" s="51">
        <f t="shared" si="112"/>
        <v>0</v>
      </c>
      <c r="J46" s="51">
        <f>SUM(C46:I46)</f>
        <v>2</v>
      </c>
      <c r="K46" s="50"/>
      <c r="L46" s="51">
        <f t="shared" ref="L46:R46" si="113">IF(L45="Matin",1,IF(L45="AM",1,0))</f>
        <v>1</v>
      </c>
      <c r="M46" s="51">
        <f t="shared" si="113"/>
        <v>1</v>
      </c>
      <c r="N46" s="51">
        <f t="shared" si="113"/>
        <v>1</v>
      </c>
      <c r="O46" s="51">
        <f t="shared" si="113"/>
        <v>0</v>
      </c>
      <c r="P46" s="51">
        <f t="shared" si="113"/>
        <v>0</v>
      </c>
      <c r="Q46" s="51">
        <f t="shared" si="113"/>
        <v>0</v>
      </c>
      <c r="R46" s="51">
        <f t="shared" si="113"/>
        <v>0</v>
      </c>
      <c r="S46" s="51">
        <f>SUM(L46:R46)</f>
        <v>3</v>
      </c>
      <c r="T46" s="50"/>
      <c r="U46" s="51">
        <f t="shared" ref="U46:AA46" si="114">IF(U45="Matin",1,IF(U45="AM",1,0))</f>
        <v>0</v>
      </c>
      <c r="V46" s="51">
        <f t="shared" si="114"/>
        <v>0</v>
      </c>
      <c r="W46" s="51">
        <f t="shared" si="114"/>
        <v>0</v>
      </c>
      <c r="X46" s="51">
        <f t="shared" si="114"/>
        <v>0</v>
      </c>
      <c r="Y46" s="51">
        <f t="shared" si="114"/>
        <v>0</v>
      </c>
      <c r="Z46" s="51">
        <f t="shared" si="114"/>
        <v>0</v>
      </c>
      <c r="AA46" s="51">
        <f t="shared" si="114"/>
        <v>0</v>
      </c>
      <c r="AB46" s="51">
        <f>SUM(U46:AA46)</f>
        <v>0</v>
      </c>
      <c r="AC46" s="50"/>
      <c r="AD46" s="51">
        <f t="shared" ref="AD46:AJ46" si="115">IF(AD45="Matin",1,IF(AD45="AM",1,0))</f>
        <v>1</v>
      </c>
      <c r="AE46" s="51">
        <f t="shared" si="115"/>
        <v>0</v>
      </c>
      <c r="AF46" s="51">
        <f t="shared" si="115"/>
        <v>0</v>
      </c>
      <c r="AG46" s="51">
        <f t="shared" si="115"/>
        <v>1</v>
      </c>
      <c r="AH46" s="51">
        <f t="shared" si="115"/>
        <v>1</v>
      </c>
      <c r="AI46" s="51">
        <f t="shared" si="115"/>
        <v>0</v>
      </c>
      <c r="AJ46" s="51">
        <f t="shared" si="115"/>
        <v>0</v>
      </c>
      <c r="AK46" s="51">
        <f>SUM(AD46:AJ46)</f>
        <v>3</v>
      </c>
      <c r="AL46" s="50"/>
      <c r="AM46" s="51">
        <f t="shared" ref="AM46:AS46" si="116">IF(AM45="Matin",1,IF(AM45="AM",1,0))</f>
        <v>1</v>
      </c>
      <c r="AN46" s="51">
        <f t="shared" si="116"/>
        <v>1</v>
      </c>
      <c r="AO46" s="51">
        <f t="shared" si="116"/>
        <v>1</v>
      </c>
      <c r="AP46" s="51">
        <f t="shared" si="116"/>
        <v>1</v>
      </c>
      <c r="AQ46" s="51">
        <f t="shared" si="116"/>
        <v>1</v>
      </c>
      <c r="AR46" s="51">
        <f t="shared" si="116"/>
        <v>0</v>
      </c>
      <c r="AS46" s="51">
        <f t="shared" si="116"/>
        <v>0</v>
      </c>
      <c r="AT46" s="51">
        <f>SUM(AM46:AS46)</f>
        <v>5</v>
      </c>
      <c r="AU46" s="50"/>
      <c r="AV46" s="51">
        <f t="shared" ref="AV46:AW46" si="117">IF(AV45="Matin",1,IF(AV45="AM",1,0))</f>
        <v>0</v>
      </c>
      <c r="AW46" s="51">
        <f t="shared" si="117"/>
        <v>0</v>
      </c>
      <c r="AX46" s="51">
        <f>SUM(AV46:AW46)</f>
        <v>0</v>
      </c>
      <c r="AY46" s="51">
        <f>J46+S46+AB46+AK46+AT46+AX46</f>
        <v>13</v>
      </c>
      <c r="AZ46" s="25"/>
      <c r="BA46" s="25"/>
      <c r="BB46" s="25"/>
      <c r="BC46" s="25"/>
      <c r="BD46" s="25"/>
      <c r="BE46" s="25"/>
      <c r="BF46" s="25"/>
      <c r="BG46" s="28"/>
    </row>
    <row r="47" spans="1:59" s="27" customFormat="1" ht="15" customHeight="1">
      <c r="A47" s="47" t="s">
        <v>4</v>
      </c>
      <c r="B47" s="47"/>
      <c r="C47" s="48">
        <f>IF(C48&gt;=1,1,0)</f>
        <v>0</v>
      </c>
      <c r="D47" s="48">
        <f>IF(D48&gt;=1,1,0)</f>
        <v>0</v>
      </c>
      <c r="E47" s="48">
        <f t="shared" ref="E47:I47" si="118">IF(E48&gt;=1,1,0)</f>
        <v>0</v>
      </c>
      <c r="F47" s="48">
        <f t="shared" si="118"/>
        <v>1</v>
      </c>
      <c r="G47" s="48">
        <f t="shared" si="118"/>
        <v>1</v>
      </c>
      <c r="H47" s="48">
        <f t="shared" si="118"/>
        <v>0</v>
      </c>
      <c r="I47" s="48">
        <f t="shared" si="118"/>
        <v>0</v>
      </c>
      <c r="J47" s="51">
        <f t="shared" ref="J47:J52" si="119">SUM(C47:I47)</f>
        <v>2</v>
      </c>
      <c r="K47" s="47"/>
      <c r="L47" s="48">
        <f>IF(L48&gt;=1,1,0)</f>
        <v>1</v>
      </c>
      <c r="M47" s="48">
        <f t="shared" ref="M47:R47" si="120">IF(M48&gt;=1,1,0)</f>
        <v>1</v>
      </c>
      <c r="N47" s="48">
        <f t="shared" si="120"/>
        <v>1</v>
      </c>
      <c r="O47" s="48">
        <f t="shared" si="120"/>
        <v>0</v>
      </c>
      <c r="P47" s="48">
        <f t="shared" si="120"/>
        <v>0</v>
      </c>
      <c r="Q47" s="48">
        <f t="shared" si="120"/>
        <v>0</v>
      </c>
      <c r="R47" s="48">
        <f t="shared" si="120"/>
        <v>0</v>
      </c>
      <c r="S47" s="51">
        <f t="shared" ref="S47:S52" si="121">SUM(L47:R47)</f>
        <v>3</v>
      </c>
      <c r="T47" s="47"/>
      <c r="U47" s="48">
        <f>IF(U48&gt;=1,1,0)</f>
        <v>1</v>
      </c>
      <c r="V47" s="48">
        <f t="shared" ref="V47:AA47" si="122">IF(V48&gt;=1,1,0)</f>
        <v>1</v>
      </c>
      <c r="W47" s="48">
        <f t="shared" si="122"/>
        <v>1</v>
      </c>
      <c r="X47" s="48">
        <f t="shared" si="122"/>
        <v>1</v>
      </c>
      <c r="Y47" s="48">
        <f t="shared" si="122"/>
        <v>1</v>
      </c>
      <c r="Z47" s="48">
        <f t="shared" si="122"/>
        <v>0</v>
      </c>
      <c r="AA47" s="48">
        <f t="shared" si="122"/>
        <v>0</v>
      </c>
      <c r="AB47" s="51">
        <f t="shared" ref="AB47:AB52" si="123">SUM(U47:AA47)</f>
        <v>5</v>
      </c>
      <c r="AC47" s="47"/>
      <c r="AD47" s="48">
        <f>IF(AD48&gt;=1,1,0)</f>
        <v>1</v>
      </c>
      <c r="AE47" s="48">
        <f t="shared" ref="AE47:AJ47" si="124">IF(AE48&gt;=1,1,0)</f>
        <v>0</v>
      </c>
      <c r="AF47" s="48">
        <f t="shared" si="124"/>
        <v>0</v>
      </c>
      <c r="AG47" s="48">
        <f t="shared" si="124"/>
        <v>1</v>
      </c>
      <c r="AH47" s="48">
        <f t="shared" si="124"/>
        <v>1</v>
      </c>
      <c r="AI47" s="48">
        <f t="shared" si="124"/>
        <v>0</v>
      </c>
      <c r="AJ47" s="48">
        <f t="shared" si="124"/>
        <v>0</v>
      </c>
      <c r="AK47" s="51">
        <f t="shared" ref="AK47:AK52" si="125">SUM(AD47:AJ47)</f>
        <v>3</v>
      </c>
      <c r="AL47" s="47"/>
      <c r="AM47" s="48">
        <f>IF(AM48&gt;=1,1,0)</f>
        <v>1</v>
      </c>
      <c r="AN47" s="48">
        <f t="shared" ref="AN47:AS47" si="126">IF(AN48&gt;=1,1,0)</f>
        <v>1</v>
      </c>
      <c r="AO47" s="48">
        <f t="shared" si="126"/>
        <v>1</v>
      </c>
      <c r="AP47" s="48">
        <f t="shared" si="126"/>
        <v>1</v>
      </c>
      <c r="AQ47" s="48">
        <f t="shared" si="126"/>
        <v>1</v>
      </c>
      <c r="AR47" s="48">
        <f t="shared" si="126"/>
        <v>0</v>
      </c>
      <c r="AS47" s="48">
        <f t="shared" si="126"/>
        <v>0</v>
      </c>
      <c r="AT47" s="51">
        <f t="shared" ref="AT47:AT52" si="127">SUM(AM47:AS47)</f>
        <v>5</v>
      </c>
      <c r="AU47" s="47"/>
      <c r="AV47" s="48">
        <f>IF(AV48&gt;=1,1,0)</f>
        <v>0</v>
      </c>
      <c r="AW47" s="48">
        <f t="shared" ref="AW47" si="128">IF(AW48&gt;=1,1,0)</f>
        <v>0</v>
      </c>
      <c r="AX47" s="51">
        <f>SUM(AV47:AW47)</f>
        <v>0</v>
      </c>
      <c r="AY47" s="48">
        <f t="shared" ref="AY47:AY56" si="129">J47+S47+AB47+AK47+AT47+AX47</f>
        <v>18</v>
      </c>
      <c r="AZ47" s="39"/>
      <c r="BA47" s="39"/>
      <c r="BB47" s="39"/>
      <c r="BC47" s="39"/>
      <c r="BD47" s="39"/>
      <c r="BE47" s="39"/>
      <c r="BF47" s="29"/>
    </row>
    <row r="48" spans="1:59" s="27" customFormat="1" ht="15" customHeight="1">
      <c r="A48" s="50" t="s">
        <v>3</v>
      </c>
      <c r="B48" s="50"/>
      <c r="C48" s="51">
        <f>IF(C45="Matin",8,IF(C45="AM",8,IF(C45="nuit",8,0)))</f>
        <v>0</v>
      </c>
      <c r="D48" s="51">
        <f t="shared" ref="D48:I48" si="130">IF(D45="Matin",8,IF(D45="AM",8,IF(D45="nuit",8,0)))</f>
        <v>0</v>
      </c>
      <c r="E48" s="51">
        <f t="shared" si="130"/>
        <v>0</v>
      </c>
      <c r="F48" s="51">
        <f t="shared" si="130"/>
        <v>8</v>
      </c>
      <c r="G48" s="51">
        <f t="shared" si="130"/>
        <v>8</v>
      </c>
      <c r="H48" s="51">
        <f t="shared" si="130"/>
        <v>0</v>
      </c>
      <c r="I48" s="51">
        <f t="shared" si="130"/>
        <v>0</v>
      </c>
      <c r="J48" s="51">
        <f t="shared" si="119"/>
        <v>16</v>
      </c>
      <c r="K48" s="50"/>
      <c r="L48" s="51">
        <f>IF(L45="Matin",8,IF(L45="AM",8,IF(L45="nuit",8,0)))</f>
        <v>8</v>
      </c>
      <c r="M48" s="51">
        <f t="shared" ref="M48:R48" si="131">IF(M45="Matin",8,IF(M45="AM",8,IF(M45="nuit",8,0)))</f>
        <v>8</v>
      </c>
      <c r="N48" s="51">
        <f t="shared" si="131"/>
        <v>8</v>
      </c>
      <c r="O48" s="51">
        <f t="shared" si="131"/>
        <v>0</v>
      </c>
      <c r="P48" s="51">
        <f t="shared" si="131"/>
        <v>0</v>
      </c>
      <c r="Q48" s="51">
        <f t="shared" si="131"/>
        <v>0</v>
      </c>
      <c r="R48" s="51">
        <f t="shared" si="131"/>
        <v>0</v>
      </c>
      <c r="S48" s="51">
        <f t="shared" si="121"/>
        <v>24</v>
      </c>
      <c r="T48" s="50"/>
      <c r="U48" s="51">
        <f>IF(U45="Matin",8,IF(U45="AM",8,IF(U45="nuit",8,0)))</f>
        <v>8</v>
      </c>
      <c r="V48" s="51">
        <f t="shared" ref="V48:AA48" si="132">IF(V45="Matin",8,IF(V45="AM",8,IF(V45="nuit",8,0)))</f>
        <v>8</v>
      </c>
      <c r="W48" s="51">
        <f t="shared" si="132"/>
        <v>8</v>
      </c>
      <c r="X48" s="51">
        <f t="shared" si="132"/>
        <v>8</v>
      </c>
      <c r="Y48" s="51">
        <f t="shared" si="132"/>
        <v>8</v>
      </c>
      <c r="Z48" s="51">
        <f t="shared" si="132"/>
        <v>0</v>
      </c>
      <c r="AA48" s="51">
        <f t="shared" si="132"/>
        <v>0</v>
      </c>
      <c r="AB48" s="51">
        <f t="shared" si="123"/>
        <v>40</v>
      </c>
      <c r="AC48" s="50"/>
      <c r="AD48" s="51">
        <f>IF(AD45="Matin",8,IF(AD45="AM",8,IF(AD45="nuit",8,0)))</f>
        <v>8</v>
      </c>
      <c r="AE48" s="51">
        <f t="shared" ref="AE48:AJ48" si="133">IF(AE45="Matin",8,IF(AE45="AM",8,IF(AE45="nuit",8,0)))</f>
        <v>0</v>
      </c>
      <c r="AF48" s="51">
        <f t="shared" si="133"/>
        <v>0</v>
      </c>
      <c r="AG48" s="51">
        <f t="shared" si="133"/>
        <v>8</v>
      </c>
      <c r="AH48" s="51">
        <f t="shared" si="133"/>
        <v>8</v>
      </c>
      <c r="AI48" s="51">
        <f t="shared" si="133"/>
        <v>0</v>
      </c>
      <c r="AJ48" s="51">
        <f t="shared" si="133"/>
        <v>0</v>
      </c>
      <c r="AK48" s="51">
        <f t="shared" si="125"/>
        <v>24</v>
      </c>
      <c r="AL48" s="50"/>
      <c r="AM48" s="51">
        <f>IF(AM45="Matin",8,IF(AM45="AM",8,IF(AM45="nuit",8,0)))</f>
        <v>8</v>
      </c>
      <c r="AN48" s="51">
        <f t="shared" ref="AN48:AS48" si="134">IF(AN45="Matin",8,IF(AN45="AM",8,IF(AN45="nuit",8,0)))</f>
        <v>8</v>
      </c>
      <c r="AO48" s="51">
        <f t="shared" si="134"/>
        <v>8</v>
      </c>
      <c r="AP48" s="51">
        <f t="shared" si="134"/>
        <v>8</v>
      </c>
      <c r="AQ48" s="51">
        <f t="shared" si="134"/>
        <v>8</v>
      </c>
      <c r="AR48" s="51">
        <f t="shared" si="134"/>
        <v>0</v>
      </c>
      <c r="AS48" s="51">
        <f t="shared" si="134"/>
        <v>0</v>
      </c>
      <c r="AT48" s="51">
        <f t="shared" si="127"/>
        <v>40</v>
      </c>
      <c r="AU48" s="50"/>
      <c r="AV48" s="51">
        <f>IF(AV45="Matin",8,IF(AV45="AM",8,IF(AV45="nuit",8,0)))</f>
        <v>0</v>
      </c>
      <c r="AW48" s="51">
        <f t="shared" ref="AW48" si="135">IF(AW45="Matin",8,IF(AW45="AM",8,IF(AW45="nuit",8,0)))</f>
        <v>0</v>
      </c>
      <c r="AX48" s="51">
        <f>SUM(AV48:AW48)</f>
        <v>0</v>
      </c>
      <c r="AY48" s="51">
        <f t="shared" si="129"/>
        <v>144</v>
      </c>
      <c r="AZ48" s="25"/>
      <c r="BA48" s="25"/>
      <c r="BB48" s="25"/>
      <c r="BC48" s="25"/>
      <c r="BD48" s="25"/>
      <c r="BE48" s="25"/>
      <c r="BF48" s="25"/>
      <c r="BG48" s="28"/>
    </row>
    <row r="49" spans="1:59" s="5" customFormat="1" ht="15" customHeight="1">
      <c r="A49" s="47" t="s">
        <v>13</v>
      </c>
      <c r="B49" s="47"/>
      <c r="C49" s="48"/>
      <c r="D49" s="48"/>
      <c r="E49" s="48"/>
      <c r="F49" s="48"/>
      <c r="G49" s="48"/>
      <c r="H49" s="48"/>
      <c r="I49" s="48"/>
      <c r="J49" s="51">
        <f>MAX(MIN(DATA!$D$22-DATA!$C$22,Travail!J48-Travail!J45-I48),0)</f>
        <v>0</v>
      </c>
      <c r="K49" s="47"/>
      <c r="L49" s="48"/>
      <c r="M49" s="48"/>
      <c r="N49" s="48"/>
      <c r="O49" s="48"/>
      <c r="P49" s="48"/>
      <c r="Q49" s="48"/>
      <c r="R49" s="48"/>
      <c r="S49" s="51">
        <f>MAX(MIN(DATA!$D$22-DATA!$C$22,Travail!S48-Travail!S45-R48),0)</f>
        <v>0</v>
      </c>
      <c r="T49" s="47"/>
      <c r="U49" s="48"/>
      <c r="V49" s="48"/>
      <c r="W49" s="48"/>
      <c r="X49" s="48"/>
      <c r="Y49" s="48"/>
      <c r="Z49" s="48"/>
      <c r="AA49" s="48"/>
      <c r="AB49" s="51">
        <f>MAX(MIN(DATA!$D$22-DATA!$C$22,Travail!AB48-Travail!AB45-AA48),0)</f>
        <v>0</v>
      </c>
      <c r="AC49" s="47"/>
      <c r="AD49" s="48"/>
      <c r="AE49" s="48"/>
      <c r="AF49" s="48"/>
      <c r="AG49" s="48"/>
      <c r="AH49" s="48"/>
      <c r="AI49" s="48"/>
      <c r="AJ49" s="48"/>
      <c r="AK49" s="51">
        <f>MAX(MIN(DATA!$D$22-DATA!$C$22,Travail!AK48-Travail!AK45-AJ48),0)</f>
        <v>0</v>
      </c>
      <c r="AL49" s="47"/>
      <c r="AM49" s="48"/>
      <c r="AN49" s="48"/>
      <c r="AO49" s="48"/>
      <c r="AP49" s="48"/>
      <c r="AQ49" s="48"/>
      <c r="AR49" s="48"/>
      <c r="AS49" s="48"/>
      <c r="AT49" s="51">
        <f>MAX(MIN(DATA!$D$22-DATA!$C$22,Travail!AT48-Travail!AT45-AS48),0)</f>
        <v>0</v>
      </c>
      <c r="AU49" s="47"/>
      <c r="AV49" s="48"/>
      <c r="AW49" s="48"/>
      <c r="AX49" s="51">
        <f>MAX(MIN(DATA!$D$22-DATA!$C$22,Travail!AX48-Travail!AX45),0)</f>
        <v>0</v>
      </c>
      <c r="AY49" s="49">
        <f t="shared" si="129"/>
        <v>0</v>
      </c>
      <c r="AZ49" s="39"/>
      <c r="BA49" s="39"/>
      <c r="BB49" s="39"/>
      <c r="BC49" s="39"/>
      <c r="BD49" s="39"/>
      <c r="BE49" s="39"/>
      <c r="BF49" s="29"/>
    </row>
    <row r="50" spans="1:59" s="27" customFormat="1" ht="15" customHeight="1">
      <c r="A50" s="50" t="s">
        <v>6</v>
      </c>
      <c r="B50" s="50"/>
      <c r="C50" s="51"/>
      <c r="D50" s="51"/>
      <c r="E50" s="51"/>
      <c r="F50" s="51"/>
      <c r="G50" s="51"/>
      <c r="H50" s="51"/>
      <c r="I50" s="51"/>
      <c r="J50" s="51">
        <f>MAX(MIN(DATA!$E$22-DATA!$D$22,Travail!J48-Travail!J45-Travail!J49-I48),0)</f>
        <v>0</v>
      </c>
      <c r="K50" s="50"/>
      <c r="L50" s="51"/>
      <c r="M50" s="51"/>
      <c r="N50" s="51"/>
      <c r="O50" s="51"/>
      <c r="P50" s="51"/>
      <c r="Q50" s="51"/>
      <c r="R50" s="51"/>
      <c r="S50" s="51">
        <f>MAX(MIN(DATA!$E$22-DATA!$D$22,Travail!S48-Travail!S45-Travail!S49-R48),0)</f>
        <v>0</v>
      </c>
      <c r="T50" s="50"/>
      <c r="U50" s="51"/>
      <c r="V50" s="51"/>
      <c r="W50" s="51"/>
      <c r="X50" s="51"/>
      <c r="Y50" s="51"/>
      <c r="Z50" s="51"/>
      <c r="AA50" s="51"/>
      <c r="AB50" s="51">
        <f>MAX(MIN(DATA!$E$22-DATA!$D$22,Travail!AB48-Travail!AB45-Travail!AB49-AA48),0)</f>
        <v>0</v>
      </c>
      <c r="AC50" s="50"/>
      <c r="AD50" s="51"/>
      <c r="AE50" s="51"/>
      <c r="AF50" s="51"/>
      <c r="AG50" s="51"/>
      <c r="AH50" s="51"/>
      <c r="AI50" s="51"/>
      <c r="AJ50" s="51"/>
      <c r="AK50" s="51">
        <f>MAX(MIN(DATA!$E$22-DATA!$D$22,Travail!AK48-Travail!AK45-Travail!AK49-AJ48),0)</f>
        <v>0</v>
      </c>
      <c r="AL50" s="50"/>
      <c r="AM50" s="51"/>
      <c r="AN50" s="51"/>
      <c r="AO50" s="51"/>
      <c r="AP50" s="51"/>
      <c r="AQ50" s="51"/>
      <c r="AR50" s="51"/>
      <c r="AS50" s="51"/>
      <c r="AT50" s="51">
        <f>MAX(MIN(DATA!$E$22-DATA!$D$22,Travail!AT48-Travail!AT45-Travail!AT49-AS48),0)</f>
        <v>0</v>
      </c>
      <c r="AU50" s="50"/>
      <c r="AV50" s="51"/>
      <c r="AW50" s="51"/>
      <c r="AX50" s="51">
        <f>MAX(MIN(DATA!$E$22-DATA!$D$22,Travail!AX48-Travail!AX45-Travail!AX49),0)</f>
        <v>0</v>
      </c>
      <c r="AY50" s="51">
        <f t="shared" si="129"/>
        <v>0</v>
      </c>
      <c r="AZ50" s="25"/>
      <c r="BA50" s="25"/>
      <c r="BB50" s="25"/>
      <c r="BC50" s="25"/>
      <c r="BD50" s="25"/>
      <c r="BE50" s="25"/>
      <c r="BF50" s="25"/>
      <c r="BG50" s="28"/>
    </row>
    <row r="51" spans="1:59" s="5" customFormat="1" ht="15" customHeight="1">
      <c r="A51" s="47" t="s">
        <v>5</v>
      </c>
      <c r="B51" s="47"/>
      <c r="C51" s="48"/>
      <c r="D51" s="48"/>
      <c r="E51" s="48"/>
      <c r="F51" s="48"/>
      <c r="G51" s="48"/>
      <c r="H51" s="48"/>
      <c r="I51" s="48"/>
      <c r="J51" s="51">
        <f>MAX(J48-J45-J50-J49-J52,0)</f>
        <v>0</v>
      </c>
      <c r="K51" s="47"/>
      <c r="L51" s="48"/>
      <c r="M51" s="48"/>
      <c r="N51" s="48"/>
      <c r="O51" s="48"/>
      <c r="P51" s="48"/>
      <c r="Q51" s="48"/>
      <c r="R51" s="48"/>
      <c r="S51" s="51">
        <f>MAX(S48-S45-S50-S49-S52,0)</f>
        <v>0</v>
      </c>
      <c r="T51" s="47"/>
      <c r="U51" s="48"/>
      <c r="V51" s="48"/>
      <c r="W51" s="48"/>
      <c r="X51" s="48"/>
      <c r="Y51" s="48"/>
      <c r="Z51" s="48"/>
      <c r="AA51" s="48"/>
      <c r="AB51" s="51">
        <f>MAX(AB48-AB45-AB50-AB49-AB52,0)</f>
        <v>0</v>
      </c>
      <c r="AC51" s="47"/>
      <c r="AD51" s="48"/>
      <c r="AE51" s="48"/>
      <c r="AF51" s="48"/>
      <c r="AG51" s="48"/>
      <c r="AH51" s="48"/>
      <c r="AI51" s="48"/>
      <c r="AJ51" s="48"/>
      <c r="AK51" s="51">
        <f>MAX(AK48-AK45-AK50-AK49-AK52,0)</f>
        <v>0</v>
      </c>
      <c r="AL51" s="47"/>
      <c r="AM51" s="48"/>
      <c r="AN51" s="48"/>
      <c r="AO51" s="48"/>
      <c r="AP51" s="48"/>
      <c r="AQ51" s="48"/>
      <c r="AR51" s="48"/>
      <c r="AS51" s="48"/>
      <c r="AT51" s="51">
        <f>MAX(AT48-AT45-AT50-AT49-AT52,0)</f>
        <v>0</v>
      </c>
      <c r="AU51" s="47"/>
      <c r="AV51" s="48"/>
      <c r="AW51" s="48"/>
      <c r="AX51" s="97">
        <f>MAX(AX48-AX45-AX50-AX49,0)</f>
        <v>0</v>
      </c>
      <c r="AY51" s="49">
        <f t="shared" si="129"/>
        <v>0</v>
      </c>
      <c r="AZ51" s="39"/>
      <c r="BA51" s="39"/>
      <c r="BB51" s="39"/>
      <c r="BC51" s="39"/>
      <c r="BD51" s="39"/>
      <c r="BE51" s="39"/>
      <c r="BF51" s="29"/>
    </row>
    <row r="52" spans="1:59" s="27" customFormat="1" ht="15" customHeight="1">
      <c r="A52" s="50" t="s">
        <v>7</v>
      </c>
      <c r="B52" s="50"/>
      <c r="C52" s="51">
        <f>IF(C43="Dim",C48,IF(C58="ferie",C48,0))</f>
        <v>0</v>
      </c>
      <c r="D52" s="51">
        <f t="shared" ref="D52:I52" si="136">IF(D43="Dim",D48,IF(D58="ferie",D48,0))</f>
        <v>0</v>
      </c>
      <c r="E52" s="51">
        <f t="shared" si="136"/>
        <v>0</v>
      </c>
      <c r="F52" s="51">
        <f t="shared" si="136"/>
        <v>0</v>
      </c>
      <c r="G52" s="51">
        <f t="shared" si="136"/>
        <v>0</v>
      </c>
      <c r="H52" s="51">
        <f t="shared" si="136"/>
        <v>0</v>
      </c>
      <c r="I52" s="51">
        <f t="shared" si="136"/>
        <v>0</v>
      </c>
      <c r="J52" s="51">
        <f t="shared" si="119"/>
        <v>0</v>
      </c>
      <c r="K52" s="50"/>
      <c r="L52" s="51">
        <f>IF(L43="Dim",L48,IF(L58="ferie",L48,0))</f>
        <v>0</v>
      </c>
      <c r="M52" s="51">
        <f t="shared" ref="M52:R52" si="137">IF(M43="Dim",M48,IF(M58="ferie",M48,0))</f>
        <v>0</v>
      </c>
      <c r="N52" s="51">
        <f t="shared" si="137"/>
        <v>0</v>
      </c>
      <c r="O52" s="51">
        <f t="shared" si="137"/>
        <v>0</v>
      </c>
      <c r="P52" s="51">
        <f t="shared" si="137"/>
        <v>0</v>
      </c>
      <c r="Q52" s="51">
        <f>IF(Q43="Dim",Q48,IF(Q58="ferie",Q48,0))</f>
        <v>0</v>
      </c>
      <c r="R52" s="51">
        <f t="shared" si="137"/>
        <v>0</v>
      </c>
      <c r="S52" s="51">
        <f t="shared" si="121"/>
        <v>0</v>
      </c>
      <c r="T52" s="50"/>
      <c r="U52" s="51">
        <f>IF(U43="Dim",U48,IF(U58="ferie",U48,0))</f>
        <v>0</v>
      </c>
      <c r="V52" s="51">
        <f t="shared" ref="V52:AA52" si="138">IF(V43="Dim",V48,IF(V58="ferie",V48,0))</f>
        <v>0</v>
      </c>
      <c r="W52" s="51">
        <f t="shared" si="138"/>
        <v>0</v>
      </c>
      <c r="X52" s="51">
        <f t="shared" si="138"/>
        <v>0</v>
      </c>
      <c r="Y52" s="51">
        <f t="shared" si="138"/>
        <v>0</v>
      </c>
      <c r="Z52" s="51">
        <f t="shared" si="138"/>
        <v>0</v>
      </c>
      <c r="AA52" s="51">
        <f t="shared" si="138"/>
        <v>0</v>
      </c>
      <c r="AB52" s="51">
        <f t="shared" si="123"/>
        <v>0</v>
      </c>
      <c r="AC52" s="50"/>
      <c r="AD52" s="51">
        <f>IF(AD43="Dim",AD48,IF(AD58="ferie",AD48,0))</f>
        <v>0</v>
      </c>
      <c r="AE52" s="51">
        <f t="shared" ref="AE52:AJ52" si="139">IF(AE43="Dim",AE48,IF(AE58="ferie",AE48,0))</f>
        <v>0</v>
      </c>
      <c r="AF52" s="51">
        <f t="shared" si="139"/>
        <v>0</v>
      </c>
      <c r="AG52" s="51">
        <f t="shared" si="139"/>
        <v>0</v>
      </c>
      <c r="AH52" s="51">
        <f t="shared" si="139"/>
        <v>0</v>
      </c>
      <c r="AI52" s="51">
        <f t="shared" si="139"/>
        <v>0</v>
      </c>
      <c r="AJ52" s="51">
        <f t="shared" si="139"/>
        <v>0</v>
      </c>
      <c r="AK52" s="51">
        <f t="shared" si="125"/>
        <v>0</v>
      </c>
      <c r="AL52" s="50"/>
      <c r="AM52" s="51">
        <f>IF(AM43="Dim",AM48,IF(AM58="ferie",AM48,0))</f>
        <v>0</v>
      </c>
      <c r="AN52" s="51">
        <f t="shared" ref="AN52:AW52" si="140">IF(AN43="Dim",AN48,IF(AN58="ferie",AN48,0))</f>
        <v>0</v>
      </c>
      <c r="AO52" s="51">
        <f t="shared" si="140"/>
        <v>0</v>
      </c>
      <c r="AP52" s="51">
        <f t="shared" si="140"/>
        <v>0</v>
      </c>
      <c r="AQ52" s="51">
        <f t="shared" si="140"/>
        <v>0</v>
      </c>
      <c r="AR52" s="51">
        <f t="shared" si="140"/>
        <v>0</v>
      </c>
      <c r="AS52" s="51">
        <f t="shared" si="140"/>
        <v>0</v>
      </c>
      <c r="AT52" s="51">
        <f t="shared" si="127"/>
        <v>0</v>
      </c>
      <c r="AU52" s="50"/>
      <c r="AV52" s="51">
        <f>IF(AV43="Dim",AV48,IF(AV58="ferie",AV48,0))</f>
        <v>0</v>
      </c>
      <c r="AW52" s="51">
        <f t="shared" si="140"/>
        <v>0</v>
      </c>
      <c r="AX52" s="51">
        <f t="shared" ref="AX52:AX57" si="141">SUM(AV52:AW52)</f>
        <v>0</v>
      </c>
      <c r="AY52" s="51">
        <f t="shared" si="129"/>
        <v>0</v>
      </c>
      <c r="AZ52" s="25"/>
      <c r="BA52" s="25"/>
      <c r="BB52" s="25"/>
      <c r="BC52" s="25"/>
      <c r="BD52" s="25"/>
      <c r="BE52" s="25"/>
      <c r="BF52" s="25"/>
      <c r="BG52" s="28"/>
    </row>
    <row r="53" spans="1:59" s="27" customFormat="1" ht="15" customHeight="1">
      <c r="A53" s="47" t="s">
        <v>8</v>
      </c>
      <c r="B53" s="47"/>
      <c r="C53" s="48"/>
      <c r="D53" s="48"/>
      <c r="E53" s="48"/>
      <c r="F53" s="48"/>
      <c r="G53" s="48"/>
      <c r="H53" s="48"/>
      <c r="I53" s="48"/>
      <c r="J53" s="51">
        <f t="shared" ref="J53:J57" si="142">SUM(C53:I53)</f>
        <v>0</v>
      </c>
      <c r="K53" s="47"/>
      <c r="L53" s="48"/>
      <c r="M53" s="48"/>
      <c r="N53" s="48"/>
      <c r="O53" s="48"/>
      <c r="P53" s="48"/>
      <c r="Q53" s="48"/>
      <c r="R53" s="48"/>
      <c r="S53" s="51">
        <f t="shared" ref="S53:S57" si="143">SUM(L53:R53)</f>
        <v>0</v>
      </c>
      <c r="T53" s="47"/>
      <c r="U53" s="48"/>
      <c r="V53" s="48"/>
      <c r="W53" s="48"/>
      <c r="X53" s="48"/>
      <c r="Y53" s="48"/>
      <c r="Z53" s="48"/>
      <c r="AA53" s="48"/>
      <c r="AB53" s="51">
        <f t="shared" ref="AB53:AB57" si="144">SUM(U53:AA53)</f>
        <v>0</v>
      </c>
      <c r="AC53" s="47"/>
      <c r="AD53" s="48"/>
      <c r="AE53" s="48"/>
      <c r="AF53" s="48"/>
      <c r="AG53" s="48"/>
      <c r="AH53" s="48"/>
      <c r="AI53" s="48"/>
      <c r="AJ53" s="48"/>
      <c r="AK53" s="51">
        <f t="shared" ref="AK53:AK57" si="145">SUM(AD53:AJ53)</f>
        <v>0</v>
      </c>
      <c r="AL53" s="47"/>
      <c r="AM53" s="48"/>
      <c r="AN53" s="48"/>
      <c r="AO53" s="48"/>
      <c r="AP53" s="48"/>
      <c r="AQ53" s="48"/>
      <c r="AR53" s="48"/>
      <c r="AS53" s="48"/>
      <c r="AT53" s="51">
        <f t="shared" ref="AT53:AT57" si="146">SUM(AM53:AS53)</f>
        <v>0</v>
      </c>
      <c r="AU53" s="47"/>
      <c r="AV53" s="48"/>
      <c r="AW53" s="48"/>
      <c r="AX53" s="51">
        <f>SUM(AV53:AW53)</f>
        <v>0</v>
      </c>
      <c r="AY53" s="48">
        <f t="shared" si="129"/>
        <v>0</v>
      </c>
      <c r="AZ53" s="39"/>
      <c r="BA53" s="39"/>
      <c r="BB53" s="39"/>
      <c r="BC53" s="39"/>
      <c r="BD53" s="39"/>
      <c r="BE53" s="39"/>
      <c r="BF53" s="29"/>
    </row>
    <row r="54" spans="1:59" s="27" customFormat="1" ht="15" customHeight="1">
      <c r="A54" s="50" t="s">
        <v>9</v>
      </c>
      <c r="B54" s="50"/>
      <c r="C54" s="51"/>
      <c r="D54" s="51"/>
      <c r="E54" s="51"/>
      <c r="F54" s="51"/>
      <c r="G54" s="51"/>
      <c r="H54" s="51"/>
      <c r="I54" s="51"/>
      <c r="J54" s="51">
        <f t="shared" si="142"/>
        <v>0</v>
      </c>
      <c r="K54" s="50"/>
      <c r="L54" s="51"/>
      <c r="M54" s="51"/>
      <c r="N54" s="51"/>
      <c r="O54" s="51"/>
      <c r="P54" s="51"/>
      <c r="Q54" s="51"/>
      <c r="R54" s="51"/>
      <c r="S54" s="51">
        <f t="shared" si="143"/>
        <v>0</v>
      </c>
      <c r="T54" s="50"/>
      <c r="U54" s="51"/>
      <c r="V54" s="51"/>
      <c r="W54" s="51"/>
      <c r="X54" s="51"/>
      <c r="Y54" s="51"/>
      <c r="Z54" s="51"/>
      <c r="AA54" s="51"/>
      <c r="AB54" s="51">
        <f t="shared" si="144"/>
        <v>0</v>
      </c>
      <c r="AC54" s="50"/>
      <c r="AD54" s="51"/>
      <c r="AE54" s="51"/>
      <c r="AF54" s="51"/>
      <c r="AG54" s="51"/>
      <c r="AH54" s="51"/>
      <c r="AI54" s="51"/>
      <c r="AJ54" s="51"/>
      <c r="AK54" s="51">
        <f t="shared" si="145"/>
        <v>0</v>
      </c>
      <c r="AL54" s="50"/>
      <c r="AM54" s="51"/>
      <c r="AN54" s="51"/>
      <c r="AO54" s="51"/>
      <c r="AP54" s="51"/>
      <c r="AQ54" s="51"/>
      <c r="AR54" s="51"/>
      <c r="AS54" s="51"/>
      <c r="AT54" s="51">
        <f t="shared" si="146"/>
        <v>0</v>
      </c>
      <c r="AU54" s="50"/>
      <c r="AV54" s="51"/>
      <c r="AW54" s="51"/>
      <c r="AX54" s="51">
        <f t="shared" si="141"/>
        <v>0</v>
      </c>
      <c r="AY54" s="51">
        <f t="shared" si="129"/>
        <v>0</v>
      </c>
      <c r="AZ54" s="25"/>
      <c r="BA54" s="25"/>
      <c r="BB54" s="25"/>
      <c r="BC54" s="25"/>
      <c r="BD54" s="25"/>
      <c r="BE54" s="25"/>
      <c r="BF54" s="25"/>
      <c r="BG54" s="28"/>
    </row>
    <row r="55" spans="1:59" s="5" customFormat="1" ht="15" customHeight="1">
      <c r="A55" s="47" t="s">
        <v>11</v>
      </c>
      <c r="B55" s="47"/>
      <c r="C55" s="48"/>
      <c r="D55" s="48"/>
      <c r="E55" s="48"/>
      <c r="F55" s="48"/>
      <c r="G55" s="48"/>
      <c r="H55" s="48"/>
      <c r="I55" s="48"/>
      <c r="J55" s="51">
        <f t="shared" si="142"/>
        <v>0</v>
      </c>
      <c r="K55" s="47"/>
      <c r="L55" s="48"/>
      <c r="M55" s="48"/>
      <c r="N55" s="48"/>
      <c r="O55" s="48"/>
      <c r="P55" s="48"/>
      <c r="Q55" s="48"/>
      <c r="R55" s="48"/>
      <c r="S55" s="51">
        <f t="shared" si="143"/>
        <v>0</v>
      </c>
      <c r="T55" s="47"/>
      <c r="U55" s="48"/>
      <c r="V55" s="48"/>
      <c r="W55" s="48"/>
      <c r="X55" s="48"/>
      <c r="Y55" s="48"/>
      <c r="Z55" s="48"/>
      <c r="AA55" s="48"/>
      <c r="AB55" s="51">
        <f t="shared" si="144"/>
        <v>0</v>
      </c>
      <c r="AC55" s="47"/>
      <c r="AD55" s="48"/>
      <c r="AE55" s="48"/>
      <c r="AF55" s="48"/>
      <c r="AG55" s="48"/>
      <c r="AH55" s="48"/>
      <c r="AI55" s="48"/>
      <c r="AJ55" s="48"/>
      <c r="AK55" s="51">
        <f t="shared" si="145"/>
        <v>0</v>
      </c>
      <c r="AL55" s="47"/>
      <c r="AM55" s="48"/>
      <c r="AN55" s="48"/>
      <c r="AO55" s="48"/>
      <c r="AP55" s="48"/>
      <c r="AQ55" s="48"/>
      <c r="AR55" s="48"/>
      <c r="AS55" s="48"/>
      <c r="AT55" s="51">
        <f t="shared" si="146"/>
        <v>0</v>
      </c>
      <c r="AU55" s="47"/>
      <c r="AV55" s="48"/>
      <c r="AW55" s="48"/>
      <c r="AX55" s="51">
        <f t="shared" si="141"/>
        <v>0</v>
      </c>
      <c r="AY55" s="49">
        <f t="shared" si="129"/>
        <v>0</v>
      </c>
      <c r="AZ55" s="39"/>
      <c r="BA55" s="39"/>
      <c r="BB55" s="39"/>
      <c r="BC55" s="39"/>
      <c r="BD55" s="39"/>
      <c r="BE55" s="39"/>
      <c r="BF55" s="29"/>
    </row>
    <row r="56" spans="1:59" s="27" customFormat="1" ht="15" customHeight="1">
      <c r="A56" s="50" t="s">
        <v>10</v>
      </c>
      <c r="B56" s="50"/>
      <c r="C56" s="51"/>
      <c r="D56" s="51"/>
      <c r="E56" s="51"/>
      <c r="F56" s="51"/>
      <c r="G56" s="51"/>
      <c r="H56" s="51"/>
      <c r="I56" s="51"/>
      <c r="J56" s="51">
        <f t="shared" si="142"/>
        <v>0</v>
      </c>
      <c r="K56" s="50"/>
      <c r="L56" s="51"/>
      <c r="M56" s="51"/>
      <c r="N56" s="51"/>
      <c r="O56" s="51"/>
      <c r="P56" s="51"/>
      <c r="Q56" s="51"/>
      <c r="R56" s="51"/>
      <c r="S56" s="51">
        <f t="shared" si="143"/>
        <v>0</v>
      </c>
      <c r="T56" s="50"/>
      <c r="U56" s="51"/>
      <c r="V56" s="51"/>
      <c r="W56" s="51"/>
      <c r="X56" s="51"/>
      <c r="Y56" s="51"/>
      <c r="Z56" s="51"/>
      <c r="AA56" s="51"/>
      <c r="AB56" s="51">
        <f t="shared" si="144"/>
        <v>0</v>
      </c>
      <c r="AC56" s="50"/>
      <c r="AD56" s="51"/>
      <c r="AE56" s="51"/>
      <c r="AF56" s="51"/>
      <c r="AG56" s="51"/>
      <c r="AH56" s="51"/>
      <c r="AI56" s="51"/>
      <c r="AJ56" s="51"/>
      <c r="AK56" s="51">
        <f t="shared" si="145"/>
        <v>0</v>
      </c>
      <c r="AL56" s="50"/>
      <c r="AM56" s="51"/>
      <c r="AN56" s="51"/>
      <c r="AO56" s="51"/>
      <c r="AP56" s="51"/>
      <c r="AQ56" s="51"/>
      <c r="AR56" s="51"/>
      <c r="AS56" s="51"/>
      <c r="AT56" s="51">
        <f t="shared" si="146"/>
        <v>0</v>
      </c>
      <c r="AU56" s="50"/>
      <c r="AV56" s="51"/>
      <c r="AW56" s="51"/>
      <c r="AX56" s="51">
        <f t="shared" si="141"/>
        <v>0</v>
      </c>
      <c r="AY56" s="51">
        <f t="shared" si="129"/>
        <v>0</v>
      </c>
      <c r="AZ56" s="25"/>
      <c r="BA56" s="25"/>
      <c r="BB56" s="25"/>
      <c r="BC56" s="25"/>
      <c r="BD56" s="25"/>
      <c r="BE56" s="25"/>
      <c r="BF56" s="25"/>
      <c r="BG56" s="28"/>
    </row>
    <row r="57" spans="1:59" s="5" customFormat="1" ht="15" customHeight="1">
      <c r="A57" s="47" t="s">
        <v>37</v>
      </c>
      <c r="B57" s="47"/>
      <c r="C57" s="48">
        <f>IF(C45="nuit",C48*0.02,0)</f>
        <v>0</v>
      </c>
      <c r="D57" s="48">
        <f>IF(D45="nuit",D48*0.02,0)</f>
        <v>0</v>
      </c>
      <c r="E57" s="48">
        <f t="shared" ref="E57:I57" si="147">IF(E45="nuit",E48*0.02,0)</f>
        <v>0</v>
      </c>
      <c r="F57" s="48">
        <f t="shared" si="147"/>
        <v>0</v>
      </c>
      <c r="G57" s="48">
        <f>IF(G45="nuit",G48*0.02,0)</f>
        <v>0</v>
      </c>
      <c r="H57" s="48">
        <f t="shared" si="147"/>
        <v>0</v>
      </c>
      <c r="I57" s="48">
        <f t="shared" si="147"/>
        <v>0</v>
      </c>
      <c r="J57" s="51">
        <f t="shared" si="142"/>
        <v>0</v>
      </c>
      <c r="K57" s="47"/>
      <c r="L57" s="48">
        <f>IF(L45="nuit",L48*0.02,0)</f>
        <v>0</v>
      </c>
      <c r="M57" s="48">
        <f>IF(M45="nuit",M48*0.02,0)</f>
        <v>0</v>
      </c>
      <c r="N57" s="48">
        <f t="shared" ref="N57:R57" si="148">IF(N45="nuit",N48*0.02,0)</f>
        <v>0</v>
      </c>
      <c r="O57" s="48">
        <f t="shared" si="148"/>
        <v>0</v>
      </c>
      <c r="P57" s="48">
        <f>IF(P45="nuit",P48*0.02,0)</f>
        <v>0</v>
      </c>
      <c r="Q57" s="48">
        <f t="shared" si="148"/>
        <v>0</v>
      </c>
      <c r="R57" s="48">
        <f t="shared" si="148"/>
        <v>0</v>
      </c>
      <c r="S57" s="51">
        <f t="shared" si="143"/>
        <v>0</v>
      </c>
      <c r="T57" s="47"/>
      <c r="U57" s="48">
        <f>IF(U45="nuit",U48*0.02,0)</f>
        <v>0.16</v>
      </c>
      <c r="V57" s="48">
        <f>IF(V45="nuit",V48*0.02,0)</f>
        <v>0.16</v>
      </c>
      <c r="W57" s="48">
        <f t="shared" ref="W57:AA57" si="149">IF(W45="nuit",W48*0.02,0)</f>
        <v>0.16</v>
      </c>
      <c r="X57" s="48">
        <f t="shared" si="149"/>
        <v>0.16</v>
      </c>
      <c r="Y57" s="48">
        <f>IF(Y45="nuit",Y48*0.02,0)</f>
        <v>0.16</v>
      </c>
      <c r="Z57" s="48">
        <f t="shared" si="149"/>
        <v>0</v>
      </c>
      <c r="AA57" s="48">
        <f t="shared" si="149"/>
        <v>0</v>
      </c>
      <c r="AB57" s="51">
        <f t="shared" si="144"/>
        <v>0.8</v>
      </c>
      <c r="AC57" s="47"/>
      <c r="AD57" s="48">
        <f>IF(AD45="nuit",AD48*0.02,0)</f>
        <v>0</v>
      </c>
      <c r="AE57" s="48">
        <f>IF(AE45="nuit",AE48*0.02,0)</f>
        <v>0</v>
      </c>
      <c r="AF57" s="48">
        <f t="shared" ref="AF57:AJ57" si="150">IF(AF45="nuit",AF48*0.02,0)</f>
        <v>0</v>
      </c>
      <c r="AG57" s="48">
        <f t="shared" si="150"/>
        <v>0</v>
      </c>
      <c r="AH57" s="48">
        <f>IF(AH45="nuit",AH48*0.02,0)</f>
        <v>0</v>
      </c>
      <c r="AI57" s="48">
        <f t="shared" si="150"/>
        <v>0</v>
      </c>
      <c r="AJ57" s="48">
        <f t="shared" si="150"/>
        <v>0</v>
      </c>
      <c r="AK57" s="51">
        <f t="shared" si="145"/>
        <v>0</v>
      </c>
      <c r="AL57" s="47"/>
      <c r="AM57" s="48">
        <f>IF(AM45="nuit",AM48*0.02,0)</f>
        <v>0</v>
      </c>
      <c r="AN57" s="48">
        <f>IF(AN45="nuit",AN48*0.02,0)</f>
        <v>0</v>
      </c>
      <c r="AO57" s="48">
        <f t="shared" ref="AO57:AS57" si="151">IF(AO45="nuit",AO48*0.02,0)</f>
        <v>0</v>
      </c>
      <c r="AP57" s="48">
        <f t="shared" si="151"/>
        <v>0</v>
      </c>
      <c r="AQ57" s="48">
        <f>IF(AQ45="nuit",AQ48*0.02,0)</f>
        <v>0</v>
      </c>
      <c r="AR57" s="48">
        <f t="shared" si="151"/>
        <v>0</v>
      </c>
      <c r="AS57" s="48">
        <f t="shared" si="151"/>
        <v>0</v>
      </c>
      <c r="AT57" s="51">
        <f t="shared" si="146"/>
        <v>0</v>
      </c>
      <c r="AU57" s="47"/>
      <c r="AV57" s="48">
        <f>IF(AV45="nuit",AV48*0.02,0)</f>
        <v>0</v>
      </c>
      <c r="AW57" s="48">
        <f>IF(AW45="nuit",AW48*0.02,0)</f>
        <v>0</v>
      </c>
      <c r="AX57" s="51">
        <f t="shared" si="141"/>
        <v>0</v>
      </c>
      <c r="AY57" s="49">
        <f>J57+S57+AB57+AK57+AT57+AX57</f>
        <v>0.8</v>
      </c>
      <c r="AZ57" s="39"/>
      <c r="BA57" s="39"/>
      <c r="BB57" s="39"/>
      <c r="BC57" s="39"/>
      <c r="BD57" s="39"/>
      <c r="BE57" s="39"/>
      <c r="BF57" s="29"/>
    </row>
    <row r="58" spans="1:59" s="27" customFormat="1" ht="15" customHeight="1">
      <c r="A58" s="50" t="s">
        <v>24</v>
      </c>
      <c r="B58" s="50"/>
      <c r="C58" s="51"/>
      <c r="D58" s="51"/>
      <c r="E58" s="51"/>
      <c r="F58" s="51"/>
      <c r="G58" s="51"/>
      <c r="H58" s="51"/>
      <c r="I58" s="51"/>
      <c r="J58" s="51"/>
      <c r="K58" s="50"/>
      <c r="L58" s="51"/>
      <c r="M58" s="51"/>
      <c r="N58" s="51"/>
      <c r="O58" s="51"/>
      <c r="P58" s="51"/>
      <c r="Q58" s="51"/>
      <c r="R58" s="51"/>
      <c r="S58" s="51"/>
      <c r="T58" s="50"/>
      <c r="U58" s="51"/>
      <c r="V58" s="51"/>
      <c r="W58" s="51"/>
      <c r="X58" s="51"/>
      <c r="Y58" s="51"/>
      <c r="Z58" s="51"/>
      <c r="AA58" s="51"/>
      <c r="AB58" s="51"/>
      <c r="AC58" s="50"/>
      <c r="AD58" s="51"/>
      <c r="AE58" s="51"/>
      <c r="AF58" s="51"/>
      <c r="AG58" s="51"/>
      <c r="AH58" s="51"/>
      <c r="AI58" s="51"/>
      <c r="AJ58" s="51"/>
      <c r="AK58" s="51"/>
      <c r="AL58" s="50"/>
      <c r="AM58" s="51"/>
      <c r="AN58" s="51"/>
      <c r="AO58" s="51"/>
      <c r="AP58" s="51"/>
      <c r="AQ58" s="51"/>
      <c r="AR58" s="51"/>
      <c r="AS58" s="51"/>
      <c r="AT58" s="51"/>
      <c r="AU58" s="50"/>
      <c r="AV58" s="51"/>
      <c r="AW58" s="51"/>
      <c r="AX58" s="51"/>
      <c r="AY58" s="51"/>
      <c r="AZ58" s="25"/>
      <c r="BA58" s="25"/>
      <c r="BB58" s="25"/>
      <c r="BC58" s="25"/>
      <c r="BD58" s="25"/>
      <c r="BE58" s="25"/>
      <c r="BF58" s="25"/>
      <c r="BG58" s="28"/>
    </row>
    <row r="59" spans="1:59" s="99" customFormat="1" ht="15" customHeight="1">
      <c r="A59" s="104" t="s">
        <v>112</v>
      </c>
      <c r="B59" s="105"/>
      <c r="C59" s="106" t="str">
        <f>IF(C44="","",IFERROR(VLOOKUP(B43,[2]DATA!$A$12:$H$16,2,TRUE),0))</f>
        <v/>
      </c>
      <c r="D59" s="106" t="str">
        <f>IF(D44="","",IFERROR(VLOOKUP(B43,[2]DATA!$A$12:$H$16,3,TRUE),0))</f>
        <v/>
      </c>
      <c r="E59" s="106" t="str">
        <f>IF(E44="","",IFERROR(VLOOKUP(B43,[2]DATA!$A$12:$H$16,4,TRUE),0))</f>
        <v/>
      </c>
      <c r="F59" s="106">
        <f>IF(F44="","",IFERROR(VLOOKUP(B43,[2]DATA!$A$12:$H$16,5,TRUE),0))</f>
        <v>1</v>
      </c>
      <c r="G59" s="106">
        <f>IF(G44="","",IFERROR(VLOOKUP(B43,[2]DATA!$A$12:$H$16,6,TRUE),0))</f>
        <v>1</v>
      </c>
      <c r="H59" s="106"/>
      <c r="I59" s="106"/>
      <c r="J59" s="106">
        <f>SUM(C59:G59)</f>
        <v>2</v>
      </c>
      <c r="K59" s="106"/>
      <c r="L59" s="106">
        <f>IF(L44="","",IFERROR(VLOOKUP(K43,[2]DATA!$A$12:$H$16,2,TRUE),0))</f>
        <v>1</v>
      </c>
      <c r="M59" s="106">
        <f>IF(M44="","",IFERROR(VLOOKUP(K43,[2]DATA!$A$12:$H$16,3,TRUE),0))</f>
        <v>1</v>
      </c>
      <c r="N59" s="106">
        <f>IF(N44="","",IFERROR(VLOOKUP(K43,[2]DATA!$A$12:$H$16,4,TRUE),0))</f>
        <v>1</v>
      </c>
      <c r="O59" s="106">
        <f>IF(O44="","",IFERROR(VLOOKUP(K43,[2]DATA!$A$12:$H$16,5,TRUE),0))</f>
        <v>0</v>
      </c>
      <c r="P59" s="106">
        <f>IF(P44="","",IFERROR(VLOOKUP(K43,[2]DATA!$A$12:$H$16,6,TRUE),0))</f>
        <v>0</v>
      </c>
      <c r="Q59" s="106"/>
      <c r="R59" s="106"/>
      <c r="S59" s="106">
        <f>SUM(L59:P59)</f>
        <v>3</v>
      </c>
      <c r="T59" s="106"/>
      <c r="U59" s="106">
        <f>IF(U44="","",IFERROR(VLOOKUP(T43,[2]DATA!$A$12:$H$16,2,TRUE),0))</f>
        <v>1</v>
      </c>
      <c r="V59" s="106">
        <f>IF(V44="","",IFERROR(VLOOKUP(T43,[2]DATA!$A$12:$H$16,3,TRUE),0))</f>
        <v>1</v>
      </c>
      <c r="W59" s="106">
        <f>IF(W44="","",IFERROR(VLOOKUP(T43,[2]DATA!$A$12:$H$16,4,TRUE),0))</f>
        <v>1</v>
      </c>
      <c r="X59" s="106">
        <f>IF(X44="","",IFERROR(VLOOKUP(T43,[2]DATA!$A$12:$H$16,5,TRUE),0))</f>
        <v>1</v>
      </c>
      <c r="Y59" s="106">
        <f>IF(Y44="","",IFERROR(VLOOKUP(T43,[2]DATA!$A$12:$H$16,6,TRUE),0))</f>
        <v>1</v>
      </c>
      <c r="Z59" s="106"/>
      <c r="AA59" s="106"/>
      <c r="AB59" s="106">
        <f>SUM(U59:Y59)</f>
        <v>5</v>
      </c>
      <c r="AC59" s="106"/>
      <c r="AD59" s="106">
        <f>IF(AD44="","",IFERROR(VLOOKUP(AC43,[2]DATA!$A$12:$H$16,2,TRUE),0))</f>
        <v>1</v>
      </c>
      <c r="AE59" s="106">
        <f>IF(AE44="","",IFERROR(VLOOKUP(AC43,[2]DATA!$A$12:$H$16,3,TRUE),0))</f>
        <v>0</v>
      </c>
      <c r="AF59" s="106">
        <f>IF(AF44="","",IFERROR(VLOOKUP(AC43,[2]DATA!$A$12:$H$16,4,TRUE),0))</f>
        <v>0</v>
      </c>
      <c r="AG59" s="106">
        <f>IF(AG44="","",IFERROR(VLOOKUP(AC43,[2]DATA!$A$12:$H$16,5,TRUE),0))</f>
        <v>1</v>
      </c>
      <c r="AH59" s="106">
        <f>IF(AH44="","",IFERROR(VLOOKUP(AC43,[2]DATA!$A$12:$H$16,6,TRUE),0))</f>
        <v>1</v>
      </c>
      <c r="AI59" s="106"/>
      <c r="AJ59" s="106"/>
      <c r="AK59" s="106">
        <f>SUM(AD59:AH59)</f>
        <v>3</v>
      </c>
      <c r="AL59" s="106"/>
      <c r="AM59" s="106">
        <f>IF(AM44="","",IFERROR(VLOOKUP(AL43,[2]DATA!$A$12:$H$16,2,TRUE),0))</f>
        <v>1</v>
      </c>
      <c r="AN59" s="106">
        <f>IF(AN44="","",IFERROR(VLOOKUP(AL43,[2]DATA!$A$12:$H$16,3,TRUE),0))</f>
        <v>1</v>
      </c>
      <c r="AO59" s="106">
        <f>IF(AO44="","",IFERROR(VLOOKUP(AL43,[2]DATA!$A$12:$H$16,4,TRUE),0))</f>
        <v>1</v>
      </c>
      <c r="AP59" s="106">
        <f>IF(AP44="","",IFERROR(VLOOKUP(AL43,[2]DATA!$A$12:$H$16,5,TRUE),0))</f>
        <v>1</v>
      </c>
      <c r="AQ59" s="106">
        <f>IF(AQ44="","",IFERROR(VLOOKUP(AL43,[2]DATA!$A$12:$H$16,6,TRUE),0))</f>
        <v>1</v>
      </c>
      <c r="AR59" s="106"/>
      <c r="AS59" s="106"/>
      <c r="AT59" s="106">
        <f>SUM(AM59:AQ59)</f>
        <v>5</v>
      </c>
      <c r="AU59" s="106"/>
      <c r="AV59" s="106" t="str">
        <f>IF(AV44="","",IFERROR(VLOOKUP(AU43,[2]DATA!$A$12:$H$16,2,TRUE),0))</f>
        <v/>
      </c>
      <c r="AW59" s="106" t="str">
        <f>IF(AW44="","",IFERROR(VLOOKUP(AU43,[2]DATA!$A$12:$H$16,3,TRUE),0))</f>
        <v/>
      </c>
      <c r="AX59" s="106">
        <f>SUM(AV59:AW59)</f>
        <v>0</v>
      </c>
      <c r="AY59" s="107"/>
      <c r="AZ59" s="34"/>
      <c r="BA59" s="34"/>
      <c r="BB59" s="34"/>
      <c r="BC59" s="34"/>
      <c r="BD59" s="34"/>
      <c r="BE59" s="34"/>
      <c r="BF59" s="98"/>
    </row>
    <row r="60" spans="1:59" s="99" customFormat="1" ht="15" customHeight="1">
      <c r="A60" s="108" t="s">
        <v>113</v>
      </c>
      <c r="B60" s="109"/>
      <c r="C60" s="53"/>
      <c r="D60" s="53"/>
      <c r="E60" s="53"/>
      <c r="F60" s="53"/>
      <c r="G60" s="53"/>
      <c r="H60" s="53"/>
      <c r="I60" s="53"/>
      <c r="J60" s="53">
        <f>J47-J59</f>
        <v>0</v>
      </c>
      <c r="K60" s="53"/>
      <c r="L60" s="53"/>
      <c r="M60" s="53"/>
      <c r="N60" s="53"/>
      <c r="O60" s="53"/>
      <c r="P60" s="53"/>
      <c r="Q60" s="53"/>
      <c r="R60" s="53"/>
      <c r="S60" s="53">
        <f>S47-S59</f>
        <v>0</v>
      </c>
      <c r="T60" s="53"/>
      <c r="U60" s="53"/>
      <c r="V60" s="53"/>
      <c r="W60" s="53"/>
      <c r="X60" s="53"/>
      <c r="Y60" s="53"/>
      <c r="Z60" s="53"/>
      <c r="AA60" s="53"/>
      <c r="AB60" s="53">
        <f>AB47-AB59</f>
        <v>0</v>
      </c>
      <c r="AC60" s="53"/>
      <c r="AD60" s="53"/>
      <c r="AE60" s="53"/>
      <c r="AF60" s="53"/>
      <c r="AG60" s="53"/>
      <c r="AH60" s="53"/>
      <c r="AI60" s="53"/>
      <c r="AJ60" s="53"/>
      <c r="AK60" s="53">
        <f>AK47-AK59</f>
        <v>0</v>
      </c>
      <c r="AL60" s="53"/>
      <c r="AM60" s="53"/>
      <c r="AN60" s="53"/>
      <c r="AO60" s="53"/>
      <c r="AP60" s="53"/>
      <c r="AQ60" s="53"/>
      <c r="AR60" s="53"/>
      <c r="AS60" s="53"/>
      <c r="AT60" s="53">
        <f>AT47-AT59</f>
        <v>0</v>
      </c>
      <c r="AU60" s="53"/>
      <c r="AV60" s="53"/>
      <c r="AW60" s="53"/>
      <c r="AX60" s="53">
        <f>AX47-AX59</f>
        <v>0</v>
      </c>
      <c r="AY60" s="110">
        <f>AT60+AK60+AB60+S60+J60</f>
        <v>0</v>
      </c>
      <c r="AZ60" s="34"/>
      <c r="BA60" s="34"/>
      <c r="BB60" s="34"/>
      <c r="BC60" s="34"/>
      <c r="BD60" s="34"/>
      <c r="BE60" s="34"/>
      <c r="BF60" s="98"/>
    </row>
    <row r="61" spans="1:59" s="5" customFormat="1" ht="27">
      <c r="A61" s="16"/>
      <c r="B61" s="16"/>
      <c r="C61" s="101" t="s">
        <v>15</v>
      </c>
      <c r="D61" s="101"/>
      <c r="E61" s="101"/>
      <c r="F61" s="101"/>
      <c r="G61" s="101"/>
      <c r="H61" s="112">
        <f>Année_Calendaire</f>
        <v>2018</v>
      </c>
      <c r="I61" s="112"/>
      <c r="J61" s="94"/>
      <c r="K61" s="43"/>
      <c r="L61" s="102"/>
      <c r="M61" s="102"/>
      <c r="N61" s="102"/>
      <c r="O61" s="102"/>
      <c r="P61" s="102"/>
      <c r="Q61" s="102"/>
      <c r="R61" s="102"/>
      <c r="S61" s="36"/>
      <c r="T61" s="43"/>
      <c r="U61" s="101" t="s">
        <v>15</v>
      </c>
      <c r="V61" s="101"/>
      <c r="W61" s="101"/>
      <c r="X61" s="101"/>
      <c r="Y61" s="101"/>
      <c r="Z61" s="112">
        <f>Année_Calendaire</f>
        <v>2018</v>
      </c>
      <c r="AA61" s="112"/>
      <c r="AB61" s="36"/>
      <c r="AC61" s="43"/>
      <c r="AD61" s="102"/>
      <c r="AE61" s="102"/>
      <c r="AF61" s="102"/>
      <c r="AG61" s="102"/>
      <c r="AH61" s="102"/>
      <c r="AI61" s="102"/>
      <c r="AJ61" s="102"/>
      <c r="AK61" s="36"/>
      <c r="AL61" s="43"/>
      <c r="AM61" s="101" t="s">
        <v>15</v>
      </c>
      <c r="AN61" s="101"/>
      <c r="AO61" s="101"/>
      <c r="AP61" s="101"/>
      <c r="AQ61" s="101"/>
      <c r="AR61" s="112">
        <f>Année_Calendaire</f>
        <v>2018</v>
      </c>
      <c r="AS61" s="112"/>
      <c r="AT61" s="36"/>
      <c r="AU61" s="43"/>
      <c r="AV61" s="25"/>
      <c r="AW61" s="25"/>
      <c r="AX61" s="36"/>
      <c r="AY61" s="39"/>
      <c r="AZ61" s="39"/>
      <c r="BA61" s="39"/>
      <c r="BB61" s="39"/>
      <c r="BC61" s="39"/>
      <c r="BD61" s="39"/>
      <c r="BE61" s="39"/>
      <c r="BF61" s="29"/>
    </row>
    <row r="62" spans="1:59" s="22" customFormat="1" ht="29.25" customHeight="1">
      <c r="A62" s="35"/>
      <c r="B62" s="54" t="str">
        <f>IF(C62="",AU43,LEFT(AU43)&amp;MOD(RIGHT(AU43),4)+1)</f>
        <v>c4</v>
      </c>
      <c r="C62" s="100" t="str">
        <f>IF(C63&lt;&gt;"","Lun","")</f>
        <v/>
      </c>
      <c r="D62" s="100" t="str">
        <f>IF(D63&lt;&gt;"","Mar","")</f>
        <v/>
      </c>
      <c r="E62" s="100" t="str">
        <f>IF(E63&lt;&gt;"","Mer","")</f>
        <v/>
      </c>
      <c r="F62" s="100" t="str">
        <f>IF(F63&lt;&gt;"","Jeu","")</f>
        <v/>
      </c>
      <c r="G62" s="100" t="str">
        <f>IF(G63&lt;&gt;"","Ven","")</f>
        <v/>
      </c>
      <c r="H62" s="100" t="str">
        <f>IF(H63&lt;&gt;"","Sam","")</f>
        <v/>
      </c>
      <c r="I62" s="100" t="str">
        <f>IF(I63&lt;&gt;"","Dim","")</f>
        <v>Dim</v>
      </c>
      <c r="J62" s="113" t="s">
        <v>25</v>
      </c>
      <c r="K62" s="54" t="str">
        <f>IF(L62="",LEFT(B62)&amp;MOD(RIGHT(B62),5),LEFT(B62)&amp;MOD(RIGHT(B62),4)+1)</f>
        <v>c1</v>
      </c>
      <c r="L62" s="100" t="str">
        <f>IF(L63&lt;&gt;"","Lun","")</f>
        <v>Lun</v>
      </c>
      <c r="M62" s="100" t="str">
        <f>IF(M63&lt;&gt;"","Mar","")</f>
        <v>Mar</v>
      </c>
      <c r="N62" s="100" t="str">
        <f>IF(N63&lt;&gt;"","Mer","")</f>
        <v>Mer</v>
      </c>
      <c r="O62" s="100" t="str">
        <f>IF(O63&lt;&gt;"","Jeu","")</f>
        <v>Jeu</v>
      </c>
      <c r="P62" s="100" t="str">
        <f>IF(P63&lt;&gt;"","Ven","")</f>
        <v>Ven</v>
      </c>
      <c r="Q62" s="100" t="str">
        <f>IF(Q63&lt;&gt;"","Sam","")</f>
        <v>Sam</v>
      </c>
      <c r="R62" s="100" t="str">
        <f>IF(R63&lt;&gt;"","Dim","")</f>
        <v>Dim</v>
      </c>
      <c r="S62" s="113" t="s">
        <v>25</v>
      </c>
      <c r="T62" s="54" t="str">
        <f>IF(U62="",LEFT(K62)&amp;MOD(RIGHT(K62),5),LEFT(K62)&amp;MOD(RIGHT(K62),4)+1)</f>
        <v>c2</v>
      </c>
      <c r="U62" s="100" t="str">
        <f>IF(U63&lt;&gt;"","Lun","")</f>
        <v>Lun</v>
      </c>
      <c r="V62" s="100" t="str">
        <f>IF(V63&lt;&gt;"","Mar","")</f>
        <v>Mar</v>
      </c>
      <c r="W62" s="100" t="str">
        <f>IF(W63&lt;&gt;"","Mer","")</f>
        <v>Mer</v>
      </c>
      <c r="X62" s="100" t="str">
        <f>IF(X63&lt;&gt;"","Jeu","")</f>
        <v>Jeu</v>
      </c>
      <c r="Y62" s="100" t="str">
        <f>IF(Y63&lt;&gt;"","Ven","")</f>
        <v>Ven</v>
      </c>
      <c r="Z62" s="100" t="str">
        <f>IF(Z63&lt;&gt;"","Sam","")</f>
        <v>Sam</v>
      </c>
      <c r="AA62" s="100" t="str">
        <f>IF(AA63&lt;&gt;"","Dim","")</f>
        <v>Dim</v>
      </c>
      <c r="AB62" s="113" t="s">
        <v>25</v>
      </c>
      <c r="AC62" s="54" t="str">
        <f>IF(AD62="",LEFT(T62)&amp;MOD(RIGHT(T62),5),LEFT(T62)&amp;MOD(RIGHT(T62),4)+1)</f>
        <v>c3</v>
      </c>
      <c r="AD62" s="100" t="str">
        <f>IF(AD63&lt;&gt;"","Lun","")</f>
        <v>Lun</v>
      </c>
      <c r="AE62" s="100" t="str">
        <f>IF(AE63&lt;&gt;"","Mar","")</f>
        <v>Mar</v>
      </c>
      <c r="AF62" s="100" t="str">
        <f>IF(AF63&lt;&gt;"","Mer","")</f>
        <v>Mer</v>
      </c>
      <c r="AG62" s="100" t="str">
        <f>IF(AG63&lt;&gt;"","Jeu","")</f>
        <v>Jeu</v>
      </c>
      <c r="AH62" s="100" t="str">
        <f>IF(AH63&lt;&gt;"","Ven","")</f>
        <v>Ven</v>
      </c>
      <c r="AI62" s="100" t="str">
        <f>IF(AI63&lt;&gt;"","Sam","")</f>
        <v>Sam</v>
      </c>
      <c r="AJ62" s="100" t="str">
        <f>IF(AJ63&lt;&gt;"","Dim","")</f>
        <v>Dim</v>
      </c>
      <c r="AK62" s="113" t="s">
        <v>25</v>
      </c>
      <c r="AL62" s="54" t="str">
        <f>IF(AM62="",LEFT(AC62)&amp;MOD(RIGHT(AC62),5),LEFT(AC62)&amp;MOD(RIGHT(AC62),4)+1)</f>
        <v>c4</v>
      </c>
      <c r="AM62" s="100" t="str">
        <f>IF(AM63&lt;&gt;"","Lun","")</f>
        <v>Lun</v>
      </c>
      <c r="AN62" s="100" t="str">
        <f>IF(AN63&lt;&gt;"","Mar","")</f>
        <v>Mar</v>
      </c>
      <c r="AO62" s="100" t="str">
        <f>IF(AO63&lt;&gt;"","Mer","")</f>
        <v>Mer</v>
      </c>
      <c r="AP62" s="100" t="str">
        <f>IF(AP63&lt;&gt;"","Jeu","")</f>
        <v>Jeu</v>
      </c>
      <c r="AQ62" s="100" t="str">
        <f>IF(AQ63&lt;&gt;"","Ven","")</f>
        <v>Ven</v>
      </c>
      <c r="AR62" s="100" t="str">
        <f>IF(AR63&lt;&gt;"","Sam","")</f>
        <v>Sam</v>
      </c>
      <c r="AS62" s="100" t="str">
        <f>IF(AS63&lt;&gt;"","Dim","")</f>
        <v>Dim</v>
      </c>
      <c r="AT62" s="113" t="s">
        <v>25</v>
      </c>
      <c r="AU62" s="54" t="str">
        <f>IF(AV62="",LEFT(AL62)&amp;MOD(RIGHT(AL62),5),LEFT(AL62)&amp;MOD(RIGHT(AL62),4)+1)</f>
        <v>c1</v>
      </c>
      <c r="AV62" s="52" t="str">
        <f>IF(AV63&lt;&gt;"","Lun","")</f>
        <v>Lun</v>
      </c>
      <c r="AW62" s="52" t="str">
        <f>IF(AW63&lt;&gt;"","Mar","")</f>
        <v/>
      </c>
      <c r="AX62" s="113" t="s">
        <v>25</v>
      </c>
      <c r="AY62" s="113" t="s">
        <v>28</v>
      </c>
      <c r="AZ62" s="114">
        <f>AY69+AY70+AY71</f>
        <v>0</v>
      </c>
      <c r="BA62" s="114">
        <f>AZ62+BA43</f>
        <v>0</v>
      </c>
      <c r="BB62" s="38"/>
      <c r="BC62" s="38"/>
      <c r="BD62" s="38"/>
      <c r="BE62" s="38"/>
      <c r="BF62" s="33"/>
    </row>
    <row r="63" spans="1:59" s="24" customFormat="1" ht="15" customHeight="1">
      <c r="A63" s="10"/>
      <c r="B63" s="53"/>
      <c r="C63" s="85" t="str">
        <f>IF(DAY(Avr_Dim1)=1,"",IF(AND(YEAR(Avr_Dim1+1)=Année_Calendaire,MONTH(Avr_Dim1+1)=4),Avr_Dim1+1,""))</f>
        <v/>
      </c>
      <c r="D63" s="85" t="str">
        <f>IF(DAY(Avr_Dim1)=1,"",IF(AND(YEAR(Avr_Dim1+2)=Année_Calendaire,MONTH(Avr_Dim1+2)=4),Avr_Dim1+2,""))</f>
        <v/>
      </c>
      <c r="E63" s="85" t="str">
        <f>IF(DAY(Avr_Dim1)=1,"",IF(AND(YEAR(Avr_Dim1+3)=Année_Calendaire,MONTH(Avr_Dim1+3)=4),Avr_Dim1+3,""))</f>
        <v/>
      </c>
      <c r="F63" s="85" t="str">
        <f>IF(DAY(Avr_Dim1)=1,"",IF(AND(YEAR(Avr_Dim1+4)=Année_Calendaire,MONTH(Avr_Dim1+4)=4),Avr_Dim1+4,""))</f>
        <v/>
      </c>
      <c r="G63" s="85" t="str">
        <f>IF(DAY(Avr_Dim1)=1,"",IF(AND(YEAR(Avr_Dim1+5)=Année_Calendaire,MONTH(Avr_Dim1+5)=4),Avr_Dim1+5,""))</f>
        <v/>
      </c>
      <c r="H63" s="85" t="str">
        <f>IF(DAY(Avr_Dim1)=1,"",IF(AND(YEAR(Avr_Dim1+6)=Année_Calendaire,MONTH(Avr_Dim1+6)=4),Avr_Dim1+6,""))</f>
        <v/>
      </c>
      <c r="I63" s="85">
        <f>IF(DAY(Avr_Dim1)=1,IF(AND(YEAR(Avr_Dim1)=Année_Calendaire,MONTH(Avr_Dim1)=4),Avr_Dim1,""),IF(AND(YEAR(Avr_Dim1+7)=Année_Calendaire,MONTH(Avr_Dim1+7)=4),Avr_Dim1+7,""))</f>
        <v>43191</v>
      </c>
      <c r="J63" s="113"/>
      <c r="K63" s="53"/>
      <c r="L63" s="85">
        <f>IF(DAY(Avr_Dim1)=1,IF(AND(YEAR(Avr_Dim1+1)=Année_Calendaire,MONTH(Avr_Dim1+1)=4),Avr_Dim1+1,""),IF(AND(YEAR(Avr_Dim1+8)=Année_Calendaire,MONTH(Avr_Dim1+8)=4),Avr_Dim1+8,""))</f>
        <v>43192</v>
      </c>
      <c r="M63" s="85">
        <f>IF(DAY(Avr_Dim1)=1,IF(AND(YEAR(Avr_Dim1+2)=Année_Calendaire,MONTH(Avr_Dim1+2)=4),Avr_Dim1+2,""),IF(AND(YEAR(Avr_Dim1+9)=Année_Calendaire,MONTH(Avr_Dim1+9)=4),Avr_Dim1+9,""))</f>
        <v>43193</v>
      </c>
      <c r="N63" s="85">
        <f>IF(DAY(Avr_Dim1)=1,IF(AND(YEAR(Avr_Dim1+3)=Année_Calendaire,MONTH(Avr_Dim1+3)=4),Avr_Dim1+3,""),IF(AND(YEAR(Avr_Dim1+10)=Année_Calendaire,MONTH(Avr_Dim1+10)=4),Avr_Dim1+10,""))</f>
        <v>43194</v>
      </c>
      <c r="O63" s="85">
        <f>IF(DAY(Avr_Dim1)=1,IF(AND(YEAR(Avr_Dim1+4)=Année_Calendaire,MONTH(Avr_Dim1+4)=4),Avr_Dim1+4,""),IF(AND(YEAR(Avr_Dim1+11)=Année_Calendaire,MONTH(Avr_Dim1+11)=4),Avr_Dim1+11,""))</f>
        <v>43195</v>
      </c>
      <c r="P63" s="85">
        <f>IF(DAY(Avr_Dim1)=1,IF(AND(YEAR(Avr_Dim1+5)=Année_Calendaire,MONTH(Avr_Dim1+5)=4),Avr_Dim1+5,""),IF(AND(YEAR(Avr_Dim1+12)=Année_Calendaire,MONTH(Avr_Dim1+12)=4),Avr_Dim1+12,""))</f>
        <v>43196</v>
      </c>
      <c r="Q63" s="85">
        <f>IF(DAY(Avr_Dim1)=1,IF(AND(YEAR(Avr_Dim1+6)=Année_Calendaire,MONTH(Avr_Dim1+6)=4),Avr_Dim1+6,""),IF(AND(YEAR(Avr_Dim1+13)=Année_Calendaire,MONTH(Avr_Dim1+13)=4),Avr_Dim1+13,""))</f>
        <v>43197</v>
      </c>
      <c r="R63" s="85">
        <f>IF(DAY(Avr_Dim1)=1,IF(AND(YEAR(Avr_Dim1+7)=Année_Calendaire,MONTH(Avr_Dim1+7)=4),Avr_Dim1+7,""),IF(AND(YEAR(Avr_Dim1+14)=Année_Calendaire,MONTH(Avr_Dim1+14)=4),Avr_Dim1+14,""))</f>
        <v>43198</v>
      </c>
      <c r="S63" s="113"/>
      <c r="T63" s="53"/>
      <c r="U63" s="85">
        <f>IF(DAY(Avr_Dim1)=1,IF(AND(YEAR(Avr_Dim1+8)=Année_Calendaire,MONTH(Avr_Dim1+8)=4),Avr_Dim1+8,""),IF(AND(YEAR(Avr_Dim1+15)=Année_Calendaire,MONTH(Avr_Dim1+15)=4),Avr_Dim1+15,""))</f>
        <v>43199</v>
      </c>
      <c r="V63" s="85">
        <f>IF(DAY(Avr_Dim1)=1,IF(AND(YEAR(Avr_Dim1+9)=Année_Calendaire,MONTH(Avr_Dim1+9)=4),Avr_Dim1+9,""),IF(AND(YEAR(Avr_Dim1+16)=Année_Calendaire,MONTH(Avr_Dim1+16)=4),Avr_Dim1+16,""))</f>
        <v>43200</v>
      </c>
      <c r="W63" s="85">
        <f>IF(DAY(Avr_Dim1)=1,IF(AND(YEAR(Avr_Dim1+10)=Année_Calendaire,MONTH(Avr_Dim1+10)=4),Avr_Dim1+10,""),IF(AND(YEAR(Avr_Dim1+17)=Année_Calendaire,MONTH(Avr_Dim1+17)=4),Avr_Dim1+17,""))</f>
        <v>43201</v>
      </c>
      <c r="X63" s="85">
        <f>IF(DAY(Avr_Dim1)=1,IF(AND(YEAR(Avr_Dim1+11)=Année_Calendaire,MONTH(Avr_Dim1+11)=4),Avr_Dim1+11,""),IF(AND(YEAR(Avr_Dim1+18)=Année_Calendaire,MONTH(Avr_Dim1+18)=4),Avr_Dim1+18,""))</f>
        <v>43202</v>
      </c>
      <c r="Y63" s="85">
        <f>IF(DAY(Avr_Dim1)=1,IF(AND(YEAR(Avr_Dim1+12)=Année_Calendaire,MONTH(Avr_Dim1+12)=4),Avr_Dim1+12,""),IF(AND(YEAR(Avr_Dim1+19)=Année_Calendaire,MONTH(Avr_Dim1+19)=4),Avr_Dim1+19,""))</f>
        <v>43203</v>
      </c>
      <c r="Z63" s="85">
        <f>IF(DAY(Avr_Dim1)=1,IF(AND(YEAR(Avr_Dim1+13)=Année_Calendaire,MONTH(Avr_Dim1+13)=4),Avr_Dim1+13,""),IF(AND(YEAR(Avr_Dim1+20)=Année_Calendaire,MONTH(Avr_Dim1+20)=4),Avr_Dim1+20,""))</f>
        <v>43204</v>
      </c>
      <c r="AA63" s="85">
        <f>IF(DAY(Avr_Dim1)=1,IF(AND(YEAR(Avr_Dim1+14)=Année_Calendaire,MONTH(Avr_Dim1+14)=4),Avr_Dim1+14,""),IF(AND(YEAR(Avr_Dim1+21)=Année_Calendaire,MONTH(Avr_Dim1+21)=4),Avr_Dim1+21,""))</f>
        <v>43205</v>
      </c>
      <c r="AB63" s="113"/>
      <c r="AC63" s="53"/>
      <c r="AD63" s="87">
        <f>IF(DAY(Avr_Dim1)=1,IF(AND(YEAR(Avr_Dim1+15)=Année_Calendaire,MONTH(Avr_Dim1+15)=4),Avr_Dim1+15,""),IF(AND(YEAR(Avr_Dim1+22)=Année_Calendaire,MONTH(Avr_Dim1+22)=4),Avr_Dim1+22,""))</f>
        <v>43206</v>
      </c>
      <c r="AE63" s="85">
        <f>IF(DAY(Avr_Dim1)=1,IF(AND(YEAR(Avr_Dim1+16)=Année_Calendaire,MONTH(Avr_Dim1+16)=4),Avr_Dim1+16,""),IF(AND(YEAR(Avr_Dim1+23)=Année_Calendaire,MONTH(Avr_Dim1+23)=4),Avr_Dim1+23,""))</f>
        <v>43207</v>
      </c>
      <c r="AF63" s="85">
        <f>IF(DAY(Avr_Dim1)=1,IF(AND(YEAR(Avr_Dim1+17)=Année_Calendaire,MONTH(Avr_Dim1+17)=4),Avr_Dim1+17,""),IF(AND(YEAR(Avr_Dim1+24)=Année_Calendaire,MONTH(Avr_Dim1+24)=4),Avr_Dim1+24,""))</f>
        <v>43208</v>
      </c>
      <c r="AG63" s="85">
        <f>IF(DAY(Avr_Dim1)=1,IF(AND(YEAR(Avr_Dim1+18)=Année_Calendaire,MONTH(Avr_Dim1+18)=4),Avr_Dim1+18,""),IF(AND(YEAR(Avr_Dim1+25)=Année_Calendaire,MONTH(Avr_Dim1+25)=4),Avr_Dim1+25,""))</f>
        <v>43209</v>
      </c>
      <c r="AH63" s="85">
        <f>IF(DAY(Avr_Dim1)=1,IF(AND(YEAR(Avr_Dim1+19)=Année_Calendaire,MONTH(Avr_Dim1+19)=4),Avr_Dim1+19,""),IF(AND(YEAR(Avr_Dim1+26)=Année_Calendaire,MONTH(Avr_Dim1+26)=4),Avr_Dim1+26,""))</f>
        <v>43210</v>
      </c>
      <c r="AI63" s="85">
        <f>IF(DAY(Avr_Dim1)=1,IF(AND(YEAR(Avr_Dim1+20)=Année_Calendaire,MONTH(Avr_Dim1+20)=4),Avr_Dim1+20,""),IF(AND(YEAR(Avr_Dim1+27)=Année_Calendaire,MONTH(Avr_Dim1+27)=4),Avr_Dim1+27,""))</f>
        <v>43211</v>
      </c>
      <c r="AJ63" s="85">
        <f>IF(DAY(Avr_Dim1)=1,IF(AND(YEAR(Avr_Dim1+21)=Année_Calendaire,MONTH(Avr_Dim1+21)=4),Avr_Dim1+21,""),IF(AND(YEAR(Avr_Dim1+28)=Année_Calendaire,MONTH(Avr_Dim1+28)=4),Avr_Dim1+28,""))</f>
        <v>43212</v>
      </c>
      <c r="AK63" s="113"/>
      <c r="AL63" s="53"/>
      <c r="AM63" s="85">
        <f>IF(DAY(Avr_Dim1)=1,IF(AND(YEAR(Avr_Dim1+22)=Année_Calendaire,MONTH(Avr_Dim1+22)=4),Avr_Dim1+22,""),IF(AND(YEAR(Avr_Dim1+29)=Année_Calendaire,MONTH(Avr_Dim1+29)=4),Avr_Dim1+29,""))</f>
        <v>43213</v>
      </c>
      <c r="AN63" s="85">
        <f>IF(DAY(Avr_Dim1)=1,IF(AND(YEAR(Avr_Dim1+23)=Année_Calendaire,MONTH(Avr_Dim1+23)=4),Avr_Dim1+23,""),IF(AND(YEAR(Avr_Dim1+30)=Année_Calendaire,MONTH(Avr_Dim1+30)=4),Avr_Dim1+30,""))</f>
        <v>43214</v>
      </c>
      <c r="AO63" s="85">
        <f>IF(DAY(Avr_Dim1)=1,IF(AND(YEAR(Avr_Dim1+24)=Année_Calendaire,MONTH(Avr_Dim1+24)=4),Avr_Dim1+24,""),IF(AND(YEAR(Avr_Dim1+31)=Année_Calendaire,MONTH(Avr_Dim1+31)=4),Avr_Dim1+31,""))</f>
        <v>43215</v>
      </c>
      <c r="AP63" s="85">
        <f>IF(DAY(Avr_Dim1)=1,IF(AND(YEAR(Avr_Dim1+25)=Année_Calendaire,MONTH(Avr_Dim1+25)=4),Avr_Dim1+25,""),IF(AND(YEAR(Avr_Dim1+32)=Année_Calendaire,MONTH(Avr_Dim1+32)=4),Avr_Dim1+32,""))</f>
        <v>43216</v>
      </c>
      <c r="AQ63" s="85">
        <f>IF(DAY(Avr_Dim1)=1,IF(AND(YEAR(Avr_Dim1+26)=Année_Calendaire,MONTH(Avr_Dim1+26)=4),Avr_Dim1+26,""),IF(AND(YEAR(Avr_Dim1+33)=Année_Calendaire,MONTH(Avr_Dim1+33)=4),Avr_Dim1+33,""))</f>
        <v>43217</v>
      </c>
      <c r="AR63" s="85">
        <f>IF(DAY(Avr_Dim1)=1,IF(AND(YEAR(Avr_Dim1+27)=Année_Calendaire,MONTH(Avr_Dim1+27)=4),Avr_Dim1+27,""),IF(AND(YEAR(Avr_Dim1+34)=Année_Calendaire,MONTH(Avr_Dim1+34)=4),Avr_Dim1+34,""))</f>
        <v>43218</v>
      </c>
      <c r="AS63" s="85">
        <f>IF(DAY(Avr_Dim1)=1,IF(AND(YEAR(Avr_Dim1+28)=Année_Calendaire,MONTH(Avr_Dim1+28)=4),Avr_Dim1+28,""),IF(AND(YEAR(Avr_Dim1+35)=Année_Calendaire,MONTH(Avr_Dim1+35)=4),Avr_Dim1+35,""))</f>
        <v>43219</v>
      </c>
      <c r="AT63" s="113"/>
      <c r="AU63" s="53"/>
      <c r="AV63" s="53">
        <f>IF(DAY(Avr_Dim1)=1,IF(AND(YEAR(Avr_Dim1+29)=Année_Calendaire,MONTH(Avr_Dim1+29)=4),Avr_Dim1+29,""),IF(AND(YEAR(Avr_Dim1+36)=Année_Calendaire,MONTH(Avr_Dim1+36)=4),Avr_Dim1+36,""))</f>
        <v>43220</v>
      </c>
      <c r="AW63" s="53" t="str">
        <f>IF(DAY(Avr_Dim1)=1,IF(AND(YEAR(Avr_Dim1+30)=Année_Calendaire,MONTH(Avr_Dim1+30)=4),Avr_Dim1+30,""),IF(AND(YEAR(Avr_Dim1+37)=Année_Calendaire,MONTH(Avr_Dim1+37)=4),Avr_Dim1+37,""))</f>
        <v/>
      </c>
      <c r="AX63" s="113"/>
      <c r="AY63" s="113"/>
      <c r="AZ63" s="114"/>
      <c r="BA63" s="114"/>
      <c r="BB63" s="31"/>
      <c r="BC63" s="31"/>
      <c r="BD63" s="31"/>
      <c r="BE63" s="31"/>
      <c r="BF63" s="23"/>
    </row>
    <row r="64" spans="1:59" s="5" customFormat="1" ht="15" customHeight="1">
      <c r="A64" s="47" t="s">
        <v>2</v>
      </c>
      <c r="B64" s="47"/>
      <c r="C64" s="48" t="str">
        <f>IF(C63="","",IFERROR(VLOOKUP(B62,DATA!$A$5:$H$9,2,TRUE),0))</f>
        <v/>
      </c>
      <c r="D64" s="48" t="str">
        <f>IF(D63="","",IFERROR(VLOOKUP(B62,DATA!$A$5:$H$9,3,TRUE),0))</f>
        <v/>
      </c>
      <c r="E64" s="48" t="str">
        <f>IF(E63="","",IFERROR(VLOOKUP(B62,DATA!$A$5:$H$9,4,TRUE),0))</f>
        <v/>
      </c>
      <c r="F64" s="48" t="str">
        <f>IF(F63="","",IFERROR(VLOOKUP(B62,DATA!$A$5:$H$9,5,TRUE),0))</f>
        <v/>
      </c>
      <c r="G64" s="48" t="str">
        <f>IF(G63="","",IFERROR(VLOOKUP(B62,DATA!$A$5:$H$9,6,TRUE),0))</f>
        <v/>
      </c>
      <c r="H64" s="48" t="str">
        <f>IF(H63="","",IFERROR(VLOOKUP(B62,DATA!$A$5:$H$9,7,TRUE),0))</f>
        <v/>
      </c>
      <c r="I64" s="48">
        <f>IF(I63="","",IFERROR(VLOOKUP(B62,DATA!$A$5:$H$9,8,TRUE),0))</f>
        <v>0</v>
      </c>
      <c r="J64" s="51">
        <f>IF(B62="c1",24,IF((B62="c3"),24,40))</f>
        <v>40</v>
      </c>
      <c r="K64" s="47"/>
      <c r="L64" s="48" t="str">
        <f>IF(L63="","",IFERROR(VLOOKUP(K62,DATA!$A$5:$H$9,2,TRUE),0))</f>
        <v>matin</v>
      </c>
      <c r="M64" s="48" t="str">
        <f>IF(M63="","",IFERROR(VLOOKUP(K62,DATA!$A$5:$H$9,3,TRUE),0))</f>
        <v>matin</v>
      </c>
      <c r="N64" s="48" t="str">
        <f>IF(N63="","",IFERROR(VLOOKUP(K62,DATA!$A$5:$H$9,4,TRUE),0))</f>
        <v>matin</v>
      </c>
      <c r="O64" s="48">
        <f>IF(O63="","",IFERROR(VLOOKUP(K62,DATA!$A$5:$H$9,5,TRUE),0))</f>
        <v>0</v>
      </c>
      <c r="P64" s="48">
        <f>IF(P63="","",IFERROR(VLOOKUP(K62,DATA!$A$5:$H$9,6,TRUE),0))</f>
        <v>0</v>
      </c>
      <c r="Q64" s="48">
        <f>IF(Q63="","",IFERROR(VLOOKUP(K62,DATA!$A$5:$H$9,7,TRUE),0))</f>
        <v>0</v>
      </c>
      <c r="R64" s="48">
        <f>IF(R63="","",IFERROR(VLOOKUP(K62,DATA!$A$5:$H$9,8,TRUE),0))</f>
        <v>0</v>
      </c>
      <c r="S64" s="51">
        <f>IF(K62="c1",24,IF((K62="c3"),24,40))</f>
        <v>24</v>
      </c>
      <c r="T64" s="47"/>
      <c r="U64" s="48" t="str">
        <f>IF(U63="","",IFERROR(VLOOKUP(T62,DATA!$A$5:$H$9,2,TRUE),0))</f>
        <v>nuit</v>
      </c>
      <c r="V64" s="48" t="str">
        <f>IF(V63="","",IFERROR(VLOOKUP(T62,DATA!$A$5:$H$9,3,TRUE),0))</f>
        <v>nuit</v>
      </c>
      <c r="W64" s="48" t="str">
        <f>IF(W63="","",IFERROR(VLOOKUP(T62,DATA!$A$5:$H$9,4,TRUE),0))</f>
        <v>nuit</v>
      </c>
      <c r="X64" s="48" t="str">
        <f>IF(X63="","",IFERROR(VLOOKUP(T62,DATA!$A$5:$H$9,5,TRUE),0))</f>
        <v>nuit</v>
      </c>
      <c r="Y64" s="48" t="str">
        <f>IF(Y63="","",IFERROR(VLOOKUP(T62,DATA!$A$5:$H$9,6,TRUE),0))</f>
        <v>nuit</v>
      </c>
      <c r="Z64" s="48">
        <f>IF(Z63="","",IFERROR(VLOOKUP(T62,DATA!$A$5:$H$9,7,TRUE),0))</f>
        <v>0</v>
      </c>
      <c r="AA64" s="48">
        <f>IF(AA63="","",IFERROR(VLOOKUP(T62,DATA!$A$5:$H$9,8,TRUE),0))</f>
        <v>0</v>
      </c>
      <c r="AB64" s="51">
        <f>IF(T62="c1",24,IF((T62="c3"),24,40))</f>
        <v>40</v>
      </c>
      <c r="AC64" s="47"/>
      <c r="AD64" s="48" t="str">
        <f>IF(AD63="","",IFERROR(VLOOKUP(AC62,DATA!$A$5:$H$9,2,TRUE),0))</f>
        <v>matin</v>
      </c>
      <c r="AE64" s="48">
        <f>IF(AE63="","",IFERROR(VLOOKUP(AC62,DATA!$A$5:$H$9,3,TRUE),0))</f>
        <v>0</v>
      </c>
      <c r="AF64" s="48">
        <f>IF(AF63="","",IFERROR(VLOOKUP(AC62,DATA!$A$5:$H$9,4,TRUE),0))</f>
        <v>0</v>
      </c>
      <c r="AG64" s="48" t="str">
        <f>IF(AG63="","",IFERROR(VLOOKUP(AC62,DATA!$A$5:$H$9,5,TRUE),0))</f>
        <v>matin</v>
      </c>
      <c r="AH64" s="48" t="str">
        <f>IF(AH63="","",IFERROR(VLOOKUP(AC62,DATA!$A$5:$H$9,6,TRUE),0))</f>
        <v>matin</v>
      </c>
      <c r="AI64" s="48">
        <f>IF(AI63="","",IFERROR(VLOOKUP(AC62,DATA!$A$5:$H$9,7,TRUE),0))</f>
        <v>0</v>
      </c>
      <c r="AJ64" s="48">
        <f>IF(AJ63="","",IFERROR(VLOOKUP(AC62,DATA!$A$5:$H$9,8,TRUE),0))</f>
        <v>0</v>
      </c>
      <c r="AK64" s="51">
        <f>IF(AC62="c1",24,IF((AC62="c3"),24,40))</f>
        <v>24</v>
      </c>
      <c r="AL64" s="47"/>
      <c r="AM64" s="48" t="str">
        <f>IF(AM63="","",IFERROR(VLOOKUP(AL62,DATA!$A$5:$H$9,2,TRUE),0))</f>
        <v>am</v>
      </c>
      <c r="AN64" s="48" t="str">
        <f>IF(AN63="","",IFERROR(VLOOKUP(AL62,DATA!$A$5:$H$9,3,TRUE),0))</f>
        <v>am</v>
      </c>
      <c r="AO64" s="48" t="str">
        <f>IF(AO63="","",IFERROR(VLOOKUP(AL62,DATA!$A$5:$H$9,4,TRUE),0))</f>
        <v>am</v>
      </c>
      <c r="AP64" s="48" t="str">
        <f>IF(AP63="","",IFERROR(VLOOKUP(AL62,DATA!$A$5:$H$9,5,TRUE),0))</f>
        <v>am</v>
      </c>
      <c r="AQ64" s="48" t="str">
        <f>IF(AQ63="","",IFERROR(VLOOKUP(AL62,DATA!$A$5:$H$9,6,TRUE),0))</f>
        <v>am</v>
      </c>
      <c r="AR64" s="48">
        <f>IF(AR63="","",IFERROR(VLOOKUP(AL62,DATA!$A$5:$H$9,7,TRUE),0))</f>
        <v>0</v>
      </c>
      <c r="AS64" s="48">
        <f>IF(AS63="","",IFERROR(VLOOKUP(AL62,DATA!$A$5:$H$9,8,TRUE),0))</f>
        <v>0</v>
      </c>
      <c r="AT64" s="51">
        <f>IF(AL62="c1",24,IF((AL62="c3"),24,40))</f>
        <v>40</v>
      </c>
      <c r="AU64" s="47"/>
      <c r="AV64" s="48" t="str">
        <f>IF(AV63="","",IFERROR(VLOOKUP(AU62,DATA!$A$5:$H$9,2,TRUE),0))</f>
        <v>matin</v>
      </c>
      <c r="AW64" s="48" t="str">
        <f>IF(AW63="","",IFERROR(VLOOKUP(AU62,DATA!$A$5:$H$9,3,TRUE),0))</f>
        <v/>
      </c>
      <c r="AX64" s="51">
        <f>IF(AP62="c1",24,IF((AP62="c3"),24,40))</f>
        <v>40</v>
      </c>
      <c r="AY64" s="49"/>
      <c r="AZ64" s="39"/>
      <c r="BA64" s="39"/>
      <c r="BB64" s="39"/>
      <c r="BC64" s="39"/>
      <c r="BD64" s="39"/>
      <c r="BE64" s="39"/>
      <c r="BF64" s="29"/>
    </row>
    <row r="65" spans="1:59" s="27" customFormat="1" ht="15" customHeight="1">
      <c r="A65" s="50" t="s">
        <v>12</v>
      </c>
      <c r="B65" s="50"/>
      <c r="C65" s="51">
        <f t="shared" ref="C65:I65" si="152">IF(C64="Matin",1,IF(C64="AM",1,0))</f>
        <v>0</v>
      </c>
      <c r="D65" s="51">
        <f t="shared" si="152"/>
        <v>0</v>
      </c>
      <c r="E65" s="51">
        <f t="shared" si="152"/>
        <v>0</v>
      </c>
      <c r="F65" s="51">
        <f t="shared" si="152"/>
        <v>0</v>
      </c>
      <c r="G65" s="51">
        <f t="shared" si="152"/>
        <v>0</v>
      </c>
      <c r="H65" s="51">
        <f t="shared" si="152"/>
        <v>0</v>
      </c>
      <c r="I65" s="51">
        <f t="shared" si="152"/>
        <v>0</v>
      </c>
      <c r="J65" s="51">
        <f>SUM(C65:I65)</f>
        <v>0</v>
      </c>
      <c r="K65" s="50"/>
      <c r="L65" s="51">
        <f t="shared" ref="L65:R65" si="153">IF(L64="Matin",1,IF(L64="AM",1,0))</f>
        <v>1</v>
      </c>
      <c r="M65" s="51">
        <f t="shared" si="153"/>
        <v>1</v>
      </c>
      <c r="N65" s="51">
        <f t="shared" si="153"/>
        <v>1</v>
      </c>
      <c r="O65" s="51">
        <f t="shared" si="153"/>
        <v>0</v>
      </c>
      <c r="P65" s="51">
        <f t="shared" si="153"/>
        <v>0</v>
      </c>
      <c r="Q65" s="51">
        <f t="shared" si="153"/>
        <v>0</v>
      </c>
      <c r="R65" s="51">
        <f t="shared" si="153"/>
        <v>0</v>
      </c>
      <c r="S65" s="51">
        <f>SUM(L65:R65)</f>
        <v>3</v>
      </c>
      <c r="T65" s="50"/>
      <c r="U65" s="51">
        <f t="shared" ref="U65:AA65" si="154">IF(U64="Matin",1,IF(U64="AM",1,0))</f>
        <v>0</v>
      </c>
      <c r="V65" s="51">
        <f t="shared" si="154"/>
        <v>0</v>
      </c>
      <c r="W65" s="51">
        <f t="shared" si="154"/>
        <v>0</v>
      </c>
      <c r="X65" s="51">
        <f t="shared" si="154"/>
        <v>0</v>
      </c>
      <c r="Y65" s="51">
        <f t="shared" si="154"/>
        <v>0</v>
      </c>
      <c r="Z65" s="51">
        <f t="shared" si="154"/>
        <v>0</v>
      </c>
      <c r="AA65" s="51">
        <f t="shared" si="154"/>
        <v>0</v>
      </c>
      <c r="AB65" s="51">
        <f>SUM(U65:AA65)</f>
        <v>0</v>
      </c>
      <c r="AC65" s="50"/>
      <c r="AD65" s="51">
        <f t="shared" ref="AD65:AJ65" si="155">IF(AD64="Matin",1,IF(AD64="AM",1,0))</f>
        <v>1</v>
      </c>
      <c r="AE65" s="51">
        <f t="shared" si="155"/>
        <v>0</v>
      </c>
      <c r="AF65" s="51">
        <f t="shared" si="155"/>
        <v>0</v>
      </c>
      <c r="AG65" s="51">
        <f t="shared" si="155"/>
        <v>1</v>
      </c>
      <c r="AH65" s="51">
        <f t="shared" si="155"/>
        <v>1</v>
      </c>
      <c r="AI65" s="51">
        <f t="shared" si="155"/>
        <v>0</v>
      </c>
      <c r="AJ65" s="51">
        <f t="shared" si="155"/>
        <v>0</v>
      </c>
      <c r="AK65" s="51">
        <f>SUM(AD65:AJ65)</f>
        <v>3</v>
      </c>
      <c r="AL65" s="50"/>
      <c r="AM65" s="51">
        <f t="shared" ref="AM65:AS65" si="156">IF(AM64="Matin",1,IF(AM64="AM",1,0))</f>
        <v>1</v>
      </c>
      <c r="AN65" s="51">
        <f t="shared" si="156"/>
        <v>1</v>
      </c>
      <c r="AO65" s="51">
        <f t="shared" si="156"/>
        <v>1</v>
      </c>
      <c r="AP65" s="51">
        <f t="shared" si="156"/>
        <v>1</v>
      </c>
      <c r="AQ65" s="51">
        <f t="shared" si="156"/>
        <v>1</v>
      </c>
      <c r="AR65" s="51">
        <f t="shared" si="156"/>
        <v>0</v>
      </c>
      <c r="AS65" s="51">
        <f t="shared" si="156"/>
        <v>0</v>
      </c>
      <c r="AT65" s="51">
        <f>SUM(AM65:AS65)</f>
        <v>5</v>
      </c>
      <c r="AU65" s="50"/>
      <c r="AV65" s="51">
        <f t="shared" ref="AV65:AW65" si="157">IF(AV64="Matin",1,IF(AV64="AM",1,0))</f>
        <v>1</v>
      </c>
      <c r="AW65" s="51">
        <f t="shared" si="157"/>
        <v>0</v>
      </c>
      <c r="AX65" s="51">
        <f>SUM(AV65:AW65)</f>
        <v>1</v>
      </c>
      <c r="AY65" s="51">
        <f>J65+S65+AB65+AK65+AT65+AX65</f>
        <v>12</v>
      </c>
      <c r="AZ65" s="25"/>
      <c r="BA65" s="25"/>
      <c r="BB65" s="25"/>
      <c r="BC65" s="25"/>
      <c r="BD65" s="25"/>
      <c r="BE65" s="25"/>
      <c r="BF65" s="25"/>
      <c r="BG65" s="28"/>
    </row>
    <row r="66" spans="1:59" s="27" customFormat="1" ht="15" customHeight="1">
      <c r="A66" s="47" t="s">
        <v>4</v>
      </c>
      <c r="B66" s="47"/>
      <c r="C66" s="48">
        <f>IF(C67&gt;=1,1,0)</f>
        <v>0</v>
      </c>
      <c r="D66" s="48">
        <f>IF(D67&gt;=1,1,0)</f>
        <v>0</v>
      </c>
      <c r="E66" s="48">
        <f t="shared" ref="E66:I66" si="158">IF(E67&gt;=1,1,0)</f>
        <v>0</v>
      </c>
      <c r="F66" s="48">
        <f t="shared" si="158"/>
        <v>0</v>
      </c>
      <c r="G66" s="48">
        <f t="shared" si="158"/>
        <v>0</v>
      </c>
      <c r="H66" s="48">
        <f t="shared" si="158"/>
        <v>0</v>
      </c>
      <c r="I66" s="48">
        <f t="shared" si="158"/>
        <v>0</v>
      </c>
      <c r="J66" s="51">
        <f t="shared" ref="J66:J71" si="159">SUM(C66:I66)</f>
        <v>0</v>
      </c>
      <c r="K66" s="47"/>
      <c r="L66" s="48">
        <f>IF(L67&gt;=1,1,0)</f>
        <v>1</v>
      </c>
      <c r="M66" s="48">
        <f t="shared" ref="M66:R66" si="160">IF(M67&gt;=1,1,0)</f>
        <v>1</v>
      </c>
      <c r="N66" s="48">
        <f t="shared" si="160"/>
        <v>1</v>
      </c>
      <c r="O66" s="48">
        <f t="shared" si="160"/>
        <v>0</v>
      </c>
      <c r="P66" s="48">
        <f t="shared" si="160"/>
        <v>0</v>
      </c>
      <c r="Q66" s="48">
        <f t="shared" si="160"/>
        <v>0</v>
      </c>
      <c r="R66" s="48">
        <f t="shared" si="160"/>
        <v>0</v>
      </c>
      <c r="S66" s="51">
        <f t="shared" ref="S66:S71" si="161">SUM(L66:R66)</f>
        <v>3</v>
      </c>
      <c r="T66" s="47"/>
      <c r="U66" s="48">
        <f>IF(U67&gt;=1,1,0)</f>
        <v>1</v>
      </c>
      <c r="V66" s="48">
        <f t="shared" ref="V66:AA66" si="162">IF(V67&gt;=1,1,0)</f>
        <v>1</v>
      </c>
      <c r="W66" s="48">
        <f t="shared" si="162"/>
        <v>1</v>
      </c>
      <c r="X66" s="48">
        <f t="shared" si="162"/>
        <v>1</v>
      </c>
      <c r="Y66" s="48">
        <f t="shared" si="162"/>
        <v>1</v>
      </c>
      <c r="Z66" s="48">
        <f t="shared" si="162"/>
        <v>0</v>
      </c>
      <c r="AA66" s="48">
        <f t="shared" si="162"/>
        <v>0</v>
      </c>
      <c r="AB66" s="51">
        <f t="shared" ref="AB66:AB71" si="163">SUM(U66:AA66)</f>
        <v>5</v>
      </c>
      <c r="AC66" s="47"/>
      <c r="AD66" s="48">
        <f>IF(AD67&gt;=1,1,0)</f>
        <v>1</v>
      </c>
      <c r="AE66" s="48">
        <f t="shared" ref="AE66:AJ66" si="164">IF(AE67&gt;=1,1,0)</f>
        <v>0</v>
      </c>
      <c r="AF66" s="48">
        <f t="shared" si="164"/>
        <v>0</v>
      </c>
      <c r="AG66" s="48">
        <f t="shared" si="164"/>
        <v>1</v>
      </c>
      <c r="AH66" s="48">
        <f t="shared" si="164"/>
        <v>1</v>
      </c>
      <c r="AI66" s="48">
        <f t="shared" si="164"/>
        <v>0</v>
      </c>
      <c r="AJ66" s="48">
        <f t="shared" si="164"/>
        <v>0</v>
      </c>
      <c r="AK66" s="51">
        <f t="shared" ref="AK66:AK71" si="165">SUM(AD66:AJ66)</f>
        <v>3</v>
      </c>
      <c r="AL66" s="47"/>
      <c r="AM66" s="48">
        <f>IF(AM67&gt;=1,1,0)</f>
        <v>1</v>
      </c>
      <c r="AN66" s="48">
        <f t="shared" ref="AN66:AS66" si="166">IF(AN67&gt;=1,1,0)</f>
        <v>1</v>
      </c>
      <c r="AO66" s="48">
        <f t="shared" si="166"/>
        <v>1</v>
      </c>
      <c r="AP66" s="48">
        <f t="shared" si="166"/>
        <v>1</v>
      </c>
      <c r="AQ66" s="48">
        <f t="shared" si="166"/>
        <v>1</v>
      </c>
      <c r="AR66" s="48">
        <f t="shared" si="166"/>
        <v>0</v>
      </c>
      <c r="AS66" s="48">
        <f t="shared" si="166"/>
        <v>0</v>
      </c>
      <c r="AT66" s="51">
        <f t="shared" ref="AT66:AT71" si="167">SUM(AM66:AS66)</f>
        <v>5</v>
      </c>
      <c r="AU66" s="47"/>
      <c r="AV66" s="48">
        <f>IF(AV67&gt;=1,1,0)</f>
        <v>1</v>
      </c>
      <c r="AW66" s="48">
        <f t="shared" ref="AW66" si="168">IF(AW67&gt;=1,1,0)</f>
        <v>0</v>
      </c>
      <c r="AX66" s="51">
        <f>SUM(AV66:AW66)</f>
        <v>1</v>
      </c>
      <c r="AY66" s="48">
        <f t="shared" ref="AY66:AY75" si="169">J66+S66+AB66+AK66+AT66+AX66</f>
        <v>17</v>
      </c>
      <c r="AZ66" s="39"/>
      <c r="BA66" s="39"/>
      <c r="BB66" s="39"/>
      <c r="BC66" s="39"/>
      <c r="BD66" s="39"/>
      <c r="BE66" s="39"/>
      <c r="BF66" s="29"/>
    </row>
    <row r="67" spans="1:59" s="27" customFormat="1" ht="15" customHeight="1">
      <c r="A67" s="50" t="s">
        <v>3</v>
      </c>
      <c r="B67" s="50"/>
      <c r="C67" s="51">
        <f>IF(C64="Matin",8,IF(C64="AM",8,IF(C64="nuit",8,0)))</f>
        <v>0</v>
      </c>
      <c r="D67" s="51">
        <f t="shared" ref="D67:I67" si="170">IF(D64="Matin",8,IF(D64="AM",8,IF(D64="nuit",8,0)))</f>
        <v>0</v>
      </c>
      <c r="E67" s="51">
        <f t="shared" si="170"/>
        <v>0</v>
      </c>
      <c r="F67" s="51">
        <f t="shared" si="170"/>
        <v>0</v>
      </c>
      <c r="G67" s="51">
        <f t="shared" si="170"/>
        <v>0</v>
      </c>
      <c r="H67" s="51">
        <f t="shared" si="170"/>
        <v>0</v>
      </c>
      <c r="I67" s="51">
        <f t="shared" si="170"/>
        <v>0</v>
      </c>
      <c r="J67" s="51">
        <f t="shared" si="159"/>
        <v>0</v>
      </c>
      <c r="K67" s="50"/>
      <c r="L67" s="51">
        <f>IF(L64="Matin",8,IF(L64="AM",8,IF(L64="nuit",8,0)))</f>
        <v>8</v>
      </c>
      <c r="M67" s="51">
        <f t="shared" ref="M67:R67" si="171">IF(M64="Matin",8,IF(M64="AM",8,IF(M64="nuit",8,0)))</f>
        <v>8</v>
      </c>
      <c r="N67" s="51">
        <f t="shared" si="171"/>
        <v>8</v>
      </c>
      <c r="O67" s="51">
        <f t="shared" si="171"/>
        <v>0</v>
      </c>
      <c r="P67" s="51">
        <f t="shared" si="171"/>
        <v>0</v>
      </c>
      <c r="Q67" s="51">
        <f t="shared" si="171"/>
        <v>0</v>
      </c>
      <c r="R67" s="51">
        <f t="shared" si="171"/>
        <v>0</v>
      </c>
      <c r="S67" s="51">
        <f t="shared" si="161"/>
        <v>24</v>
      </c>
      <c r="T67" s="50"/>
      <c r="U67" s="51">
        <f>IF(U64="Matin",8,IF(U64="AM",8,IF(U64="nuit",8,0)))</f>
        <v>8</v>
      </c>
      <c r="V67" s="51">
        <f t="shared" ref="V67:AA67" si="172">IF(V64="Matin",8,IF(V64="AM",8,IF(V64="nuit",8,0)))</f>
        <v>8</v>
      </c>
      <c r="W67" s="51">
        <f t="shared" si="172"/>
        <v>8</v>
      </c>
      <c r="X67" s="51">
        <f t="shared" si="172"/>
        <v>8</v>
      </c>
      <c r="Y67" s="51">
        <f t="shared" si="172"/>
        <v>8</v>
      </c>
      <c r="Z67" s="51">
        <f t="shared" si="172"/>
        <v>0</v>
      </c>
      <c r="AA67" s="51">
        <f t="shared" si="172"/>
        <v>0</v>
      </c>
      <c r="AB67" s="51">
        <f t="shared" si="163"/>
        <v>40</v>
      </c>
      <c r="AC67" s="50"/>
      <c r="AD67" s="51">
        <f>IF(AD64="Matin",8,IF(AD64="AM",8,IF(AD64="nuit",8,0)))</f>
        <v>8</v>
      </c>
      <c r="AE67" s="51">
        <f t="shared" ref="AE67:AJ67" si="173">IF(AE64="Matin",8,IF(AE64="AM",8,IF(AE64="nuit",8,0)))</f>
        <v>0</v>
      </c>
      <c r="AF67" s="51">
        <f t="shared" si="173"/>
        <v>0</v>
      </c>
      <c r="AG67" s="51">
        <f t="shared" si="173"/>
        <v>8</v>
      </c>
      <c r="AH67" s="51">
        <f t="shared" si="173"/>
        <v>8</v>
      </c>
      <c r="AI67" s="51">
        <f t="shared" si="173"/>
        <v>0</v>
      </c>
      <c r="AJ67" s="51">
        <f t="shared" si="173"/>
        <v>0</v>
      </c>
      <c r="AK67" s="51">
        <f t="shared" si="165"/>
        <v>24</v>
      </c>
      <c r="AL67" s="50"/>
      <c r="AM67" s="51">
        <f>IF(AM64="Matin",8,IF(AM64="AM",8,IF(AM64="nuit",8,0)))</f>
        <v>8</v>
      </c>
      <c r="AN67" s="51">
        <f t="shared" ref="AN67:AS67" si="174">IF(AN64="Matin",8,IF(AN64="AM",8,IF(AN64="nuit",8,0)))</f>
        <v>8</v>
      </c>
      <c r="AO67" s="51">
        <f t="shared" si="174"/>
        <v>8</v>
      </c>
      <c r="AP67" s="51">
        <f t="shared" si="174"/>
        <v>8</v>
      </c>
      <c r="AQ67" s="51">
        <f t="shared" si="174"/>
        <v>8</v>
      </c>
      <c r="AR67" s="51">
        <f t="shared" si="174"/>
        <v>0</v>
      </c>
      <c r="AS67" s="51">
        <f t="shared" si="174"/>
        <v>0</v>
      </c>
      <c r="AT67" s="51">
        <f t="shared" si="167"/>
        <v>40</v>
      </c>
      <c r="AU67" s="50"/>
      <c r="AV67" s="51">
        <f>IF(AV64="Matin",8,IF(AV64="AM",8,IF(AV64="nuit",8,0)))</f>
        <v>8</v>
      </c>
      <c r="AW67" s="51">
        <f t="shared" ref="AW67" si="175">IF(AW64="Matin",8,IF(AW64="AM",8,IF(AW64="nuit",8,0)))</f>
        <v>0</v>
      </c>
      <c r="AX67" s="51">
        <f>SUM(AV67:AW67)</f>
        <v>8</v>
      </c>
      <c r="AY67" s="51">
        <f t="shared" si="169"/>
        <v>136</v>
      </c>
      <c r="AZ67" s="25"/>
      <c r="BA67" s="25"/>
      <c r="BB67" s="25"/>
      <c r="BC67" s="25"/>
      <c r="BD67" s="25"/>
      <c r="BE67" s="25"/>
      <c r="BF67" s="25"/>
      <c r="BG67" s="28"/>
    </row>
    <row r="68" spans="1:59" s="5" customFormat="1" ht="15" customHeight="1">
      <c r="A68" s="47" t="s">
        <v>13</v>
      </c>
      <c r="B68" s="47"/>
      <c r="C68" s="48"/>
      <c r="D68" s="48"/>
      <c r="E68" s="48"/>
      <c r="F68" s="48"/>
      <c r="G68" s="48"/>
      <c r="H68" s="48"/>
      <c r="I68" s="48"/>
      <c r="J68" s="51">
        <f>MAX(MIN(DATA!$D$22-DATA!$C$22,Travail!J67-Travail!J64-I67),0)</f>
        <v>0</v>
      </c>
      <c r="K68" s="47"/>
      <c r="L68" s="48"/>
      <c r="M68" s="48"/>
      <c r="N68" s="48"/>
      <c r="O68" s="48"/>
      <c r="P68" s="48"/>
      <c r="Q68" s="48"/>
      <c r="R68" s="48"/>
      <c r="S68" s="51">
        <f>MAX(MIN(DATA!$D$22-DATA!$C$22,Travail!S67-Travail!S64-R67),0)</f>
        <v>0</v>
      </c>
      <c r="T68" s="47"/>
      <c r="U68" s="48"/>
      <c r="V68" s="48"/>
      <c r="W68" s="48"/>
      <c r="X68" s="48"/>
      <c r="Y68" s="48"/>
      <c r="Z68" s="48"/>
      <c r="AA68" s="48"/>
      <c r="AB68" s="51">
        <f>MAX(MIN(DATA!$D$22-DATA!$C$22,Travail!AB67-Travail!AB64-AA67),0)</f>
        <v>0</v>
      </c>
      <c r="AC68" s="47"/>
      <c r="AD68" s="48"/>
      <c r="AE68" s="48"/>
      <c r="AF68" s="48"/>
      <c r="AG68" s="48"/>
      <c r="AH68" s="48"/>
      <c r="AI68" s="48"/>
      <c r="AJ68" s="48"/>
      <c r="AK68" s="51">
        <f>MAX(MIN(DATA!$D$22-DATA!$C$22,Travail!AK67-Travail!AK64-AJ67),0)</f>
        <v>0</v>
      </c>
      <c r="AL68" s="47"/>
      <c r="AM68" s="48"/>
      <c r="AN68" s="48"/>
      <c r="AO68" s="48"/>
      <c r="AP68" s="48"/>
      <c r="AQ68" s="48"/>
      <c r="AR68" s="48"/>
      <c r="AS68" s="48"/>
      <c r="AT68" s="51">
        <f>MAX(MIN(DATA!$D$22-DATA!$C$22,Travail!AT67-Travail!AT64-AS67),0)</f>
        <v>0</v>
      </c>
      <c r="AU68" s="47"/>
      <c r="AV68" s="48"/>
      <c r="AW68" s="48"/>
      <c r="AX68" s="51">
        <f>MAX(MIN(DATA!$D$22-DATA!$C$22,Travail!AX67-Travail!AX64),0)</f>
        <v>0</v>
      </c>
      <c r="AY68" s="49">
        <f t="shared" si="169"/>
        <v>0</v>
      </c>
      <c r="AZ68" s="39"/>
      <c r="BA68" s="39"/>
      <c r="BB68" s="39"/>
      <c r="BC68" s="39"/>
      <c r="BD68" s="39"/>
      <c r="BE68" s="39"/>
      <c r="BF68" s="29"/>
    </row>
    <row r="69" spans="1:59" s="27" customFormat="1" ht="15" customHeight="1">
      <c r="A69" s="50" t="s">
        <v>6</v>
      </c>
      <c r="B69" s="50"/>
      <c r="C69" s="51"/>
      <c r="D69" s="51"/>
      <c r="E69" s="51"/>
      <c r="F69" s="51"/>
      <c r="G69" s="51"/>
      <c r="H69" s="51"/>
      <c r="I69" s="51"/>
      <c r="J69" s="51">
        <f>MAX(MIN(DATA!$E$22-DATA!$D$22,Travail!J67-Travail!J64-Travail!J68-I67),0)</f>
        <v>0</v>
      </c>
      <c r="K69" s="50"/>
      <c r="L69" s="51"/>
      <c r="M69" s="51"/>
      <c r="N69" s="51"/>
      <c r="O69" s="51"/>
      <c r="P69" s="51"/>
      <c r="Q69" s="51"/>
      <c r="R69" s="51"/>
      <c r="S69" s="51">
        <f>MAX(MIN(DATA!$E$22-DATA!$D$22,Travail!S67-Travail!S64-Travail!S68-R67),0)</f>
        <v>0</v>
      </c>
      <c r="T69" s="50"/>
      <c r="U69" s="51"/>
      <c r="V69" s="51"/>
      <c r="W69" s="51"/>
      <c r="X69" s="51"/>
      <c r="Y69" s="51"/>
      <c r="Z69" s="51"/>
      <c r="AA69" s="51"/>
      <c r="AB69" s="51">
        <f>MAX(MIN(DATA!$E$22-DATA!$D$22,Travail!AB67-Travail!AB64-Travail!AB68-AA67),0)</f>
        <v>0</v>
      </c>
      <c r="AC69" s="50"/>
      <c r="AD69" s="51"/>
      <c r="AE69" s="51"/>
      <c r="AF69" s="51"/>
      <c r="AG69" s="51"/>
      <c r="AH69" s="51"/>
      <c r="AI69" s="51"/>
      <c r="AJ69" s="51"/>
      <c r="AK69" s="51">
        <f>MAX(MIN(DATA!$E$22-DATA!$D$22,Travail!AK67-Travail!AK64-Travail!AK68-AJ67),0)</f>
        <v>0</v>
      </c>
      <c r="AL69" s="50"/>
      <c r="AM69" s="51"/>
      <c r="AN69" s="51"/>
      <c r="AO69" s="51"/>
      <c r="AP69" s="51"/>
      <c r="AQ69" s="51"/>
      <c r="AR69" s="51"/>
      <c r="AS69" s="51"/>
      <c r="AT69" s="51">
        <f>MAX(MIN(DATA!$E$22-DATA!$D$22,Travail!AT67-Travail!AT64-Travail!AT68-AS67),0)</f>
        <v>0</v>
      </c>
      <c r="AU69" s="50"/>
      <c r="AV69" s="51"/>
      <c r="AW69" s="51"/>
      <c r="AX69" s="51">
        <f>MAX(MIN(DATA!$E$22-DATA!$D$22,Travail!AX67-Travail!AX64-Travail!AX68),0)</f>
        <v>0</v>
      </c>
      <c r="AY69" s="51">
        <f t="shared" si="169"/>
        <v>0</v>
      </c>
      <c r="AZ69" s="25"/>
      <c r="BA69" s="25"/>
      <c r="BB69" s="25"/>
      <c r="BC69" s="25"/>
      <c r="BD69" s="25"/>
      <c r="BE69" s="25"/>
      <c r="BF69" s="25"/>
      <c r="BG69" s="28"/>
    </row>
    <row r="70" spans="1:59" s="5" customFormat="1" ht="15" customHeight="1">
      <c r="A70" s="47" t="s">
        <v>5</v>
      </c>
      <c r="B70" s="47"/>
      <c r="C70" s="48"/>
      <c r="D70" s="48"/>
      <c r="E70" s="48"/>
      <c r="F70" s="48"/>
      <c r="G70" s="48"/>
      <c r="H70" s="48"/>
      <c r="I70" s="48"/>
      <c r="J70" s="51">
        <f>MAX(J67-J64-J69-J68-J71,0)</f>
        <v>0</v>
      </c>
      <c r="K70" s="47"/>
      <c r="L70" s="48"/>
      <c r="M70" s="48"/>
      <c r="N70" s="48"/>
      <c r="O70" s="48"/>
      <c r="P70" s="48"/>
      <c r="Q70" s="48"/>
      <c r="R70" s="48"/>
      <c r="S70" s="51">
        <f>MAX(S67-S64-S69-S68-S71,0)</f>
        <v>0</v>
      </c>
      <c r="T70" s="47"/>
      <c r="U70" s="48"/>
      <c r="V70" s="48"/>
      <c r="W70" s="48"/>
      <c r="X70" s="48"/>
      <c r="Y70" s="48"/>
      <c r="Z70" s="48"/>
      <c r="AA70" s="48"/>
      <c r="AB70" s="51">
        <f>MAX(AB67-AB64-AB69-AB68-AB71,0)</f>
        <v>0</v>
      </c>
      <c r="AC70" s="47"/>
      <c r="AD70" s="48"/>
      <c r="AE70" s="48"/>
      <c r="AF70" s="48"/>
      <c r="AG70" s="48"/>
      <c r="AH70" s="48"/>
      <c r="AI70" s="48"/>
      <c r="AJ70" s="48"/>
      <c r="AK70" s="51">
        <f>MAX(AK67-AK64-AK69-AK68-AK71,0)</f>
        <v>0</v>
      </c>
      <c r="AL70" s="47"/>
      <c r="AM70" s="48"/>
      <c r="AN70" s="48"/>
      <c r="AO70" s="48"/>
      <c r="AP70" s="48"/>
      <c r="AQ70" s="48"/>
      <c r="AR70" s="48"/>
      <c r="AS70" s="48"/>
      <c r="AT70" s="51">
        <f>MAX(AT67-AT64-AT69-AT68-AT71,0)</f>
        <v>0</v>
      </c>
      <c r="AU70" s="47"/>
      <c r="AV70" s="48"/>
      <c r="AW70" s="48"/>
      <c r="AX70" s="97">
        <f>MAX(AX67-AX64-AX69-AX68,0)</f>
        <v>0</v>
      </c>
      <c r="AY70" s="49">
        <f t="shared" si="169"/>
        <v>0</v>
      </c>
      <c r="AZ70" s="39"/>
      <c r="BA70" s="39"/>
      <c r="BB70" s="39"/>
      <c r="BC70" s="39"/>
      <c r="BD70" s="39"/>
      <c r="BE70" s="39"/>
      <c r="BF70" s="29"/>
    </row>
    <row r="71" spans="1:59" s="27" customFormat="1" ht="15" customHeight="1">
      <c r="A71" s="50" t="s">
        <v>7</v>
      </c>
      <c r="B71" s="50"/>
      <c r="C71" s="51">
        <f>IF(C62="Dim",C67,IF(C77="ferie",C67,0))</f>
        <v>0</v>
      </c>
      <c r="D71" s="51">
        <f t="shared" ref="D71:I71" si="176">IF(D62="Dim",D67,IF(D77="ferie",D67,0))</f>
        <v>0</v>
      </c>
      <c r="E71" s="51">
        <f t="shared" si="176"/>
        <v>0</v>
      </c>
      <c r="F71" s="51">
        <f t="shared" si="176"/>
        <v>0</v>
      </c>
      <c r="G71" s="51">
        <f t="shared" si="176"/>
        <v>0</v>
      </c>
      <c r="H71" s="51">
        <f t="shared" si="176"/>
        <v>0</v>
      </c>
      <c r="I71" s="51">
        <f t="shared" si="176"/>
        <v>0</v>
      </c>
      <c r="J71" s="51">
        <f t="shared" si="159"/>
        <v>0</v>
      </c>
      <c r="K71" s="50"/>
      <c r="L71" s="51">
        <f>IF(L62="Dim",L67,IF(L77="ferie",L67,0))</f>
        <v>0</v>
      </c>
      <c r="M71" s="51">
        <f t="shared" ref="M71:R71" si="177">IF(M62="Dim",M67,IF(M77="ferie",M67,0))</f>
        <v>0</v>
      </c>
      <c r="N71" s="51">
        <f t="shared" si="177"/>
        <v>0</v>
      </c>
      <c r="O71" s="51">
        <f t="shared" si="177"/>
        <v>0</v>
      </c>
      <c r="P71" s="51">
        <f t="shared" si="177"/>
        <v>0</v>
      </c>
      <c r="Q71" s="51">
        <f>IF(Q62="Dim",Q67,IF(Q77="ferie",Q67,0))</f>
        <v>0</v>
      </c>
      <c r="R71" s="51">
        <f t="shared" si="177"/>
        <v>0</v>
      </c>
      <c r="S71" s="51">
        <f t="shared" si="161"/>
        <v>0</v>
      </c>
      <c r="T71" s="50"/>
      <c r="U71" s="51">
        <f>IF(U62="Dim",U67,IF(U77="ferie",U67,0))</f>
        <v>0</v>
      </c>
      <c r="V71" s="51">
        <f t="shared" ref="V71:AA71" si="178">IF(V62="Dim",V67,IF(V77="ferie",V67,0))</f>
        <v>0</v>
      </c>
      <c r="W71" s="51">
        <f t="shared" si="178"/>
        <v>0</v>
      </c>
      <c r="X71" s="51">
        <f t="shared" si="178"/>
        <v>0</v>
      </c>
      <c r="Y71" s="51">
        <f t="shared" si="178"/>
        <v>0</v>
      </c>
      <c r="Z71" s="51">
        <f t="shared" si="178"/>
        <v>0</v>
      </c>
      <c r="AA71" s="51">
        <f t="shared" si="178"/>
        <v>0</v>
      </c>
      <c r="AB71" s="51">
        <f t="shared" si="163"/>
        <v>0</v>
      </c>
      <c r="AC71" s="50"/>
      <c r="AD71" s="51">
        <f>IF(AD62="Dim",AD67,IF(AD77="ferie",AD67,0))</f>
        <v>0</v>
      </c>
      <c r="AE71" s="51">
        <f t="shared" ref="AE71:AJ71" si="179">IF(AE62="Dim",AE67,IF(AE77="ferie",AE67,0))</f>
        <v>0</v>
      </c>
      <c r="AF71" s="51">
        <f t="shared" si="179"/>
        <v>0</v>
      </c>
      <c r="AG71" s="51">
        <f t="shared" si="179"/>
        <v>0</v>
      </c>
      <c r="AH71" s="51">
        <f t="shared" si="179"/>
        <v>0</v>
      </c>
      <c r="AI71" s="51">
        <f t="shared" si="179"/>
        <v>0</v>
      </c>
      <c r="AJ71" s="51">
        <f t="shared" si="179"/>
        <v>0</v>
      </c>
      <c r="AK71" s="51">
        <f t="shared" si="165"/>
        <v>0</v>
      </c>
      <c r="AL71" s="50"/>
      <c r="AM71" s="51">
        <f>IF(AM62="Dim",AM67,IF(AM77="ferie",AM67,0))</f>
        <v>0</v>
      </c>
      <c r="AN71" s="51">
        <f t="shared" ref="AN71:AW71" si="180">IF(AN62="Dim",AN67,IF(AN77="ferie",AN67,0))</f>
        <v>0</v>
      </c>
      <c r="AO71" s="51">
        <f t="shared" si="180"/>
        <v>0</v>
      </c>
      <c r="AP71" s="51">
        <f t="shared" si="180"/>
        <v>0</v>
      </c>
      <c r="AQ71" s="51">
        <f t="shared" si="180"/>
        <v>0</v>
      </c>
      <c r="AR71" s="51">
        <f t="shared" si="180"/>
        <v>0</v>
      </c>
      <c r="AS71" s="51">
        <f t="shared" si="180"/>
        <v>0</v>
      </c>
      <c r="AT71" s="51">
        <f t="shared" si="167"/>
        <v>0</v>
      </c>
      <c r="AU71" s="50"/>
      <c r="AV71" s="51">
        <f>IF(AV62="Dim",AV67,IF(AV77="ferie",AV67,0))</f>
        <v>0</v>
      </c>
      <c r="AW71" s="51">
        <f t="shared" si="180"/>
        <v>0</v>
      </c>
      <c r="AX71" s="51">
        <f t="shared" ref="AX71:AX76" si="181">SUM(AV71:AW71)</f>
        <v>0</v>
      </c>
      <c r="AY71" s="51">
        <f t="shared" si="169"/>
        <v>0</v>
      </c>
      <c r="AZ71" s="25"/>
      <c r="BA71" s="25"/>
      <c r="BB71" s="25"/>
      <c r="BC71" s="25"/>
      <c r="BD71" s="25"/>
      <c r="BE71" s="25"/>
      <c r="BF71" s="25"/>
      <c r="BG71" s="28"/>
    </row>
    <row r="72" spans="1:59" s="27" customFormat="1" ht="15" customHeight="1">
      <c r="A72" s="47" t="s">
        <v>8</v>
      </c>
      <c r="B72" s="47"/>
      <c r="C72" s="48"/>
      <c r="D72" s="48"/>
      <c r="E72" s="48"/>
      <c r="F72" s="48"/>
      <c r="G72" s="48"/>
      <c r="H72" s="48"/>
      <c r="I72" s="48"/>
      <c r="J72" s="51">
        <f t="shared" ref="J72:J76" si="182">SUM(C72:I72)</f>
        <v>0</v>
      </c>
      <c r="K72" s="47"/>
      <c r="L72" s="48"/>
      <c r="M72" s="48"/>
      <c r="N72" s="48"/>
      <c r="O72" s="48"/>
      <c r="P72" s="48"/>
      <c r="Q72" s="48"/>
      <c r="R72" s="48"/>
      <c r="S72" s="51">
        <f t="shared" ref="S72:S76" si="183">SUM(L72:R72)</f>
        <v>0</v>
      </c>
      <c r="T72" s="47"/>
      <c r="U72" s="48"/>
      <c r="V72" s="48"/>
      <c r="W72" s="48"/>
      <c r="X72" s="48"/>
      <c r="Y72" s="48"/>
      <c r="Z72" s="48"/>
      <c r="AA72" s="48"/>
      <c r="AB72" s="51">
        <f t="shared" ref="AB72:AB76" si="184">SUM(U72:AA72)</f>
        <v>0</v>
      </c>
      <c r="AC72" s="47"/>
      <c r="AD72" s="48"/>
      <c r="AE72" s="48"/>
      <c r="AF72" s="48"/>
      <c r="AG72" s="48"/>
      <c r="AH72" s="48"/>
      <c r="AI72" s="48"/>
      <c r="AJ72" s="48"/>
      <c r="AK72" s="51">
        <f t="shared" ref="AK72:AK76" si="185">SUM(AD72:AJ72)</f>
        <v>0</v>
      </c>
      <c r="AL72" s="47"/>
      <c r="AM72" s="48"/>
      <c r="AN72" s="48"/>
      <c r="AO72" s="48"/>
      <c r="AP72" s="48"/>
      <c r="AQ72" s="48"/>
      <c r="AR72" s="48"/>
      <c r="AS72" s="48"/>
      <c r="AT72" s="51">
        <f t="shared" ref="AT72:AT76" si="186">SUM(AM72:AS72)</f>
        <v>0</v>
      </c>
      <c r="AU72" s="47"/>
      <c r="AV72" s="48"/>
      <c r="AW72" s="48"/>
      <c r="AX72" s="51">
        <f>SUM(AV72:AW72)</f>
        <v>0</v>
      </c>
      <c r="AY72" s="48">
        <f t="shared" si="169"/>
        <v>0</v>
      </c>
      <c r="AZ72" s="39"/>
      <c r="BA72" s="39"/>
      <c r="BB72" s="39"/>
      <c r="BC72" s="39"/>
      <c r="BD72" s="39"/>
      <c r="BE72" s="39"/>
      <c r="BF72" s="29"/>
    </row>
    <row r="73" spans="1:59" s="27" customFormat="1" ht="15" customHeight="1">
      <c r="A73" s="50" t="s">
        <v>9</v>
      </c>
      <c r="B73" s="50"/>
      <c r="C73" s="51"/>
      <c r="D73" s="51"/>
      <c r="E73" s="51"/>
      <c r="F73" s="51"/>
      <c r="G73" s="51"/>
      <c r="H73" s="51"/>
      <c r="I73" s="51"/>
      <c r="J73" s="51">
        <f t="shared" si="182"/>
        <v>0</v>
      </c>
      <c r="K73" s="50"/>
      <c r="L73" s="51"/>
      <c r="M73" s="51"/>
      <c r="N73" s="51"/>
      <c r="O73" s="51"/>
      <c r="P73" s="51"/>
      <c r="Q73" s="51"/>
      <c r="R73" s="51"/>
      <c r="S73" s="51">
        <f t="shared" si="183"/>
        <v>0</v>
      </c>
      <c r="T73" s="50"/>
      <c r="U73" s="51"/>
      <c r="V73" s="51"/>
      <c r="W73" s="51"/>
      <c r="X73" s="51"/>
      <c r="Y73" s="51"/>
      <c r="Z73" s="51"/>
      <c r="AA73" s="51"/>
      <c r="AB73" s="51">
        <f t="shared" si="184"/>
        <v>0</v>
      </c>
      <c r="AC73" s="50"/>
      <c r="AD73" s="51"/>
      <c r="AE73" s="51"/>
      <c r="AF73" s="51"/>
      <c r="AG73" s="51"/>
      <c r="AH73" s="51"/>
      <c r="AI73" s="51"/>
      <c r="AJ73" s="51"/>
      <c r="AK73" s="51">
        <f t="shared" si="185"/>
        <v>0</v>
      </c>
      <c r="AL73" s="50"/>
      <c r="AM73" s="51"/>
      <c r="AN73" s="51"/>
      <c r="AO73" s="51"/>
      <c r="AP73" s="51"/>
      <c r="AQ73" s="51"/>
      <c r="AR73" s="51"/>
      <c r="AS73" s="51"/>
      <c r="AT73" s="51">
        <f t="shared" si="186"/>
        <v>0</v>
      </c>
      <c r="AU73" s="50"/>
      <c r="AV73" s="51"/>
      <c r="AW73" s="51"/>
      <c r="AX73" s="51">
        <f t="shared" si="181"/>
        <v>0</v>
      </c>
      <c r="AY73" s="51">
        <f t="shared" si="169"/>
        <v>0</v>
      </c>
      <c r="AZ73" s="25"/>
      <c r="BA73" s="25"/>
      <c r="BB73" s="25"/>
      <c r="BC73" s="25"/>
      <c r="BD73" s="25"/>
      <c r="BE73" s="25"/>
      <c r="BF73" s="25"/>
      <c r="BG73" s="28"/>
    </row>
    <row r="74" spans="1:59" s="5" customFormat="1" ht="15" customHeight="1">
      <c r="A74" s="47" t="s">
        <v>11</v>
      </c>
      <c r="B74" s="47"/>
      <c r="C74" s="48"/>
      <c r="D74" s="48"/>
      <c r="E74" s="48"/>
      <c r="F74" s="48"/>
      <c r="G74" s="48"/>
      <c r="H74" s="48"/>
      <c r="I74" s="48"/>
      <c r="J74" s="51">
        <f t="shared" si="182"/>
        <v>0</v>
      </c>
      <c r="K74" s="47"/>
      <c r="L74" s="48"/>
      <c r="M74" s="48"/>
      <c r="N74" s="48"/>
      <c r="O74" s="48"/>
      <c r="P74" s="48"/>
      <c r="Q74" s="48"/>
      <c r="R74" s="48"/>
      <c r="S74" s="51">
        <f t="shared" si="183"/>
        <v>0</v>
      </c>
      <c r="T74" s="47"/>
      <c r="U74" s="48"/>
      <c r="V74" s="48"/>
      <c r="W74" s="48"/>
      <c r="X74" s="48"/>
      <c r="Y74" s="48"/>
      <c r="Z74" s="48"/>
      <c r="AA74" s="48"/>
      <c r="AB74" s="51">
        <f t="shared" si="184"/>
        <v>0</v>
      </c>
      <c r="AC74" s="47"/>
      <c r="AD74" s="48"/>
      <c r="AE74" s="48"/>
      <c r="AF74" s="48"/>
      <c r="AG74" s="48"/>
      <c r="AH74" s="48"/>
      <c r="AI74" s="48"/>
      <c r="AJ74" s="48"/>
      <c r="AK74" s="51">
        <f t="shared" si="185"/>
        <v>0</v>
      </c>
      <c r="AL74" s="47"/>
      <c r="AM74" s="48"/>
      <c r="AN74" s="48"/>
      <c r="AO74" s="48"/>
      <c r="AP74" s="48"/>
      <c r="AQ74" s="48"/>
      <c r="AR74" s="48"/>
      <c r="AS74" s="48"/>
      <c r="AT74" s="51">
        <f t="shared" si="186"/>
        <v>0</v>
      </c>
      <c r="AU74" s="47"/>
      <c r="AV74" s="48"/>
      <c r="AW74" s="48"/>
      <c r="AX74" s="51">
        <f t="shared" si="181"/>
        <v>0</v>
      </c>
      <c r="AY74" s="49">
        <f t="shared" si="169"/>
        <v>0</v>
      </c>
      <c r="AZ74" s="39"/>
      <c r="BA74" s="39"/>
      <c r="BB74" s="39"/>
      <c r="BC74" s="39"/>
      <c r="BD74" s="39"/>
      <c r="BE74" s="39"/>
      <c r="BF74" s="29"/>
    </row>
    <row r="75" spans="1:59" s="27" customFormat="1" ht="15" customHeight="1">
      <c r="A75" s="50" t="s">
        <v>10</v>
      </c>
      <c r="B75" s="50"/>
      <c r="C75" s="51"/>
      <c r="D75" s="51"/>
      <c r="E75" s="51"/>
      <c r="F75" s="51"/>
      <c r="G75" s="51"/>
      <c r="H75" s="51"/>
      <c r="I75" s="51"/>
      <c r="J75" s="51">
        <f t="shared" si="182"/>
        <v>0</v>
      </c>
      <c r="K75" s="50"/>
      <c r="L75" s="51"/>
      <c r="M75" s="51"/>
      <c r="N75" s="51"/>
      <c r="O75" s="51"/>
      <c r="P75" s="51"/>
      <c r="Q75" s="51"/>
      <c r="R75" s="51"/>
      <c r="S75" s="51">
        <f t="shared" si="183"/>
        <v>0</v>
      </c>
      <c r="T75" s="50"/>
      <c r="U75" s="51"/>
      <c r="V75" s="51"/>
      <c r="W75" s="51"/>
      <c r="X75" s="51"/>
      <c r="Y75" s="51"/>
      <c r="Z75" s="51"/>
      <c r="AA75" s="51"/>
      <c r="AB75" s="51">
        <f t="shared" si="184"/>
        <v>0</v>
      </c>
      <c r="AC75" s="50"/>
      <c r="AD75" s="51"/>
      <c r="AE75" s="51"/>
      <c r="AF75" s="51"/>
      <c r="AG75" s="51"/>
      <c r="AH75" s="51"/>
      <c r="AI75" s="51"/>
      <c r="AJ75" s="51"/>
      <c r="AK75" s="51">
        <f t="shared" si="185"/>
        <v>0</v>
      </c>
      <c r="AL75" s="50"/>
      <c r="AM75" s="51"/>
      <c r="AN75" s="51"/>
      <c r="AO75" s="51"/>
      <c r="AP75" s="51"/>
      <c r="AQ75" s="51"/>
      <c r="AR75" s="51"/>
      <c r="AS75" s="51"/>
      <c r="AT75" s="51">
        <f t="shared" si="186"/>
        <v>0</v>
      </c>
      <c r="AU75" s="50"/>
      <c r="AV75" s="51"/>
      <c r="AW75" s="51"/>
      <c r="AX75" s="51">
        <f t="shared" si="181"/>
        <v>0</v>
      </c>
      <c r="AY75" s="51">
        <f t="shared" si="169"/>
        <v>0</v>
      </c>
      <c r="AZ75" s="25"/>
      <c r="BA75" s="25"/>
      <c r="BB75" s="25"/>
      <c r="BC75" s="25"/>
      <c r="BD75" s="25"/>
      <c r="BE75" s="25"/>
      <c r="BF75" s="25"/>
      <c r="BG75" s="28"/>
    </row>
    <row r="76" spans="1:59" s="5" customFormat="1" ht="15" customHeight="1">
      <c r="A76" s="47" t="s">
        <v>37</v>
      </c>
      <c r="B76" s="47"/>
      <c r="C76" s="48">
        <f>IF(C64="nuit",C67*0.02,0)</f>
        <v>0</v>
      </c>
      <c r="D76" s="48">
        <f>IF(D64="nuit",D67*0.02,0)</f>
        <v>0</v>
      </c>
      <c r="E76" s="48">
        <f t="shared" ref="E76:I76" si="187">IF(E64="nuit",E67*0.02,0)</f>
        <v>0</v>
      </c>
      <c r="F76" s="48">
        <f t="shared" si="187"/>
        <v>0</v>
      </c>
      <c r="G76" s="48">
        <f>IF(G64="nuit",G67*0.02,0)</f>
        <v>0</v>
      </c>
      <c r="H76" s="48">
        <f t="shared" si="187"/>
        <v>0</v>
      </c>
      <c r="I76" s="48">
        <f t="shared" si="187"/>
        <v>0</v>
      </c>
      <c r="J76" s="51">
        <f t="shared" si="182"/>
        <v>0</v>
      </c>
      <c r="K76" s="47"/>
      <c r="L76" s="48">
        <f>IF(L64="nuit",L67*0.02,0)</f>
        <v>0</v>
      </c>
      <c r="M76" s="48">
        <f>IF(M64="nuit",M67*0.02,0)</f>
        <v>0</v>
      </c>
      <c r="N76" s="48">
        <f t="shared" ref="N76:R76" si="188">IF(N64="nuit",N67*0.02,0)</f>
        <v>0</v>
      </c>
      <c r="O76" s="48">
        <f t="shared" si="188"/>
        <v>0</v>
      </c>
      <c r="P76" s="48">
        <f>IF(P64="nuit",P67*0.02,0)</f>
        <v>0</v>
      </c>
      <c r="Q76" s="48">
        <f t="shared" si="188"/>
        <v>0</v>
      </c>
      <c r="R76" s="48">
        <f t="shared" si="188"/>
        <v>0</v>
      </c>
      <c r="S76" s="51">
        <f t="shared" si="183"/>
        <v>0</v>
      </c>
      <c r="T76" s="47"/>
      <c r="U76" s="48">
        <f>IF(U64="nuit",U67*0.02,0)</f>
        <v>0.16</v>
      </c>
      <c r="V76" s="48">
        <f>IF(V64="nuit",V67*0.02,0)</f>
        <v>0.16</v>
      </c>
      <c r="W76" s="48">
        <f t="shared" ref="W76:AA76" si="189">IF(W64="nuit",W67*0.02,0)</f>
        <v>0.16</v>
      </c>
      <c r="X76" s="48">
        <f t="shared" si="189"/>
        <v>0.16</v>
      </c>
      <c r="Y76" s="48">
        <f>IF(Y64="nuit",Y67*0.02,0)</f>
        <v>0.16</v>
      </c>
      <c r="Z76" s="48">
        <f t="shared" si="189"/>
        <v>0</v>
      </c>
      <c r="AA76" s="48">
        <f t="shared" si="189"/>
        <v>0</v>
      </c>
      <c r="AB76" s="51">
        <f t="shared" si="184"/>
        <v>0.8</v>
      </c>
      <c r="AC76" s="47"/>
      <c r="AD76" s="48">
        <f>IF(AD64="nuit",AD67*0.02,0)</f>
        <v>0</v>
      </c>
      <c r="AE76" s="48">
        <f>IF(AE64="nuit",AE67*0.02,0)</f>
        <v>0</v>
      </c>
      <c r="AF76" s="48">
        <f t="shared" ref="AF76:AJ76" si="190">IF(AF64="nuit",AF67*0.02,0)</f>
        <v>0</v>
      </c>
      <c r="AG76" s="48">
        <f t="shared" si="190"/>
        <v>0</v>
      </c>
      <c r="AH76" s="48">
        <f>IF(AH64="nuit",AH67*0.02,0)</f>
        <v>0</v>
      </c>
      <c r="AI76" s="48">
        <f t="shared" si="190"/>
        <v>0</v>
      </c>
      <c r="AJ76" s="48">
        <f t="shared" si="190"/>
        <v>0</v>
      </c>
      <c r="AK76" s="51">
        <f t="shared" si="185"/>
        <v>0</v>
      </c>
      <c r="AL76" s="47"/>
      <c r="AM76" s="48">
        <f>IF(AM64="nuit",AM67*0.02,0)</f>
        <v>0</v>
      </c>
      <c r="AN76" s="48">
        <f>IF(AN64="nuit",AN67*0.02,0)</f>
        <v>0</v>
      </c>
      <c r="AO76" s="48">
        <f t="shared" ref="AO76:AS76" si="191">IF(AO64="nuit",AO67*0.02,0)</f>
        <v>0</v>
      </c>
      <c r="AP76" s="48">
        <f t="shared" si="191"/>
        <v>0</v>
      </c>
      <c r="AQ76" s="48">
        <f>IF(AQ64="nuit",AQ67*0.02,0)</f>
        <v>0</v>
      </c>
      <c r="AR76" s="48">
        <f t="shared" si="191"/>
        <v>0</v>
      </c>
      <c r="AS76" s="48">
        <f t="shared" si="191"/>
        <v>0</v>
      </c>
      <c r="AT76" s="51">
        <f t="shared" si="186"/>
        <v>0</v>
      </c>
      <c r="AU76" s="47"/>
      <c r="AV76" s="48">
        <f>IF(AV64="nuit",AV67*0.02,0)</f>
        <v>0</v>
      </c>
      <c r="AW76" s="48">
        <f>IF(AW64="nuit",AW67*0.02,0)</f>
        <v>0</v>
      </c>
      <c r="AX76" s="51">
        <f t="shared" si="181"/>
        <v>0</v>
      </c>
      <c r="AY76" s="49">
        <f>J76+S76+AB76+AK76+AT76+AX76</f>
        <v>0.8</v>
      </c>
      <c r="AZ76" s="39"/>
      <c r="BA76" s="39"/>
      <c r="BB76" s="39"/>
      <c r="BC76" s="39"/>
      <c r="BD76" s="39"/>
      <c r="BE76" s="39"/>
      <c r="BF76" s="29"/>
    </row>
    <row r="77" spans="1:59" s="27" customFormat="1" ht="15" customHeight="1">
      <c r="A77" s="50" t="s">
        <v>24</v>
      </c>
      <c r="B77" s="50"/>
      <c r="C77" s="51"/>
      <c r="D77" s="51"/>
      <c r="E77" s="51"/>
      <c r="F77" s="51"/>
      <c r="G77" s="51"/>
      <c r="H77" s="51"/>
      <c r="I77" s="51"/>
      <c r="J77" s="51"/>
      <c r="K77" s="50"/>
      <c r="L77" s="51"/>
      <c r="M77" s="51"/>
      <c r="N77" s="51"/>
      <c r="O77" s="51"/>
      <c r="P77" s="51"/>
      <c r="Q77" s="51"/>
      <c r="R77" s="51"/>
      <c r="S77" s="51"/>
      <c r="T77" s="50"/>
      <c r="U77" s="51"/>
      <c r="V77" s="51"/>
      <c r="W77" s="51"/>
      <c r="X77" s="51"/>
      <c r="Y77" s="51"/>
      <c r="Z77" s="51"/>
      <c r="AA77" s="51"/>
      <c r="AB77" s="51"/>
      <c r="AC77" s="50"/>
      <c r="AD77" s="51"/>
      <c r="AE77" s="51"/>
      <c r="AF77" s="51"/>
      <c r="AG77" s="51"/>
      <c r="AH77" s="51"/>
      <c r="AI77" s="51"/>
      <c r="AJ77" s="51"/>
      <c r="AK77" s="51"/>
      <c r="AL77" s="50"/>
      <c r="AM77" s="51"/>
      <c r="AN77" s="51"/>
      <c r="AO77" s="51"/>
      <c r="AP77" s="51"/>
      <c r="AQ77" s="51"/>
      <c r="AR77" s="51"/>
      <c r="AS77" s="51"/>
      <c r="AT77" s="51"/>
      <c r="AU77" s="50"/>
      <c r="AV77" s="51"/>
      <c r="AW77" s="51"/>
      <c r="AX77" s="51"/>
      <c r="AY77" s="51"/>
      <c r="AZ77" s="25"/>
      <c r="BA77" s="25"/>
      <c r="BB77" s="25"/>
      <c r="BC77" s="25"/>
      <c r="BD77" s="25"/>
      <c r="BE77" s="25"/>
      <c r="BF77" s="25"/>
      <c r="BG77" s="28"/>
    </row>
    <row r="78" spans="1:59" s="99" customFormat="1" ht="15" customHeight="1">
      <c r="A78" s="104" t="s">
        <v>112</v>
      </c>
      <c r="B78" s="105"/>
      <c r="C78" s="106" t="str">
        <f>IF(C63="","",IFERROR(VLOOKUP(B62,[2]DATA!$A$12:$H$16,2,TRUE),0))</f>
        <v/>
      </c>
      <c r="D78" s="106" t="str">
        <f>IF(D63="","",IFERROR(VLOOKUP(B62,[2]DATA!$A$12:$H$16,3,TRUE),0))</f>
        <v/>
      </c>
      <c r="E78" s="106" t="str">
        <f>IF(E63="","",IFERROR(VLOOKUP(B62,[2]DATA!$A$12:$H$16,4,TRUE),0))</f>
        <v/>
      </c>
      <c r="F78" s="106" t="str">
        <f>IF(F63="","",IFERROR(VLOOKUP(B62,[2]DATA!$A$12:$H$16,5,TRUE),0))</f>
        <v/>
      </c>
      <c r="G78" s="106" t="str">
        <f>IF(G63="","",IFERROR(VLOOKUP(B62,[2]DATA!$A$12:$H$16,6,TRUE),0))</f>
        <v/>
      </c>
      <c r="H78" s="106"/>
      <c r="I78" s="106"/>
      <c r="J78" s="106">
        <f>SUM(C78:G78)</f>
        <v>0</v>
      </c>
      <c r="K78" s="106"/>
      <c r="L78" s="106">
        <f>IF(L63="","",IFERROR(VLOOKUP(K62,[2]DATA!$A$12:$H$16,2,TRUE),0))</f>
        <v>1</v>
      </c>
      <c r="M78" s="106">
        <f>IF(M63="","",IFERROR(VLOOKUP(K62,[2]DATA!$A$12:$H$16,3,TRUE),0))</f>
        <v>1</v>
      </c>
      <c r="N78" s="106">
        <f>IF(N63="","",IFERROR(VLOOKUP(K62,[2]DATA!$A$12:$H$16,4,TRUE),0))</f>
        <v>1</v>
      </c>
      <c r="O78" s="106">
        <f>IF(O63="","",IFERROR(VLOOKUP(K62,[2]DATA!$A$12:$H$16,5,TRUE),0))</f>
        <v>0</v>
      </c>
      <c r="P78" s="106">
        <f>IF(P63="","",IFERROR(VLOOKUP(K62,[2]DATA!$A$12:$H$16,6,TRUE),0))</f>
        <v>0</v>
      </c>
      <c r="Q78" s="106"/>
      <c r="R78" s="106"/>
      <c r="S78" s="106">
        <f>SUM(L78:P78)</f>
        <v>3</v>
      </c>
      <c r="T78" s="106"/>
      <c r="U78" s="106">
        <f>IF(U63="","",IFERROR(VLOOKUP(T62,[2]DATA!$A$12:$H$16,2,TRUE),0))</f>
        <v>1</v>
      </c>
      <c r="V78" s="106">
        <f>IF(V63="","",IFERROR(VLOOKUP(T62,[2]DATA!$A$12:$H$16,3,TRUE),0))</f>
        <v>1</v>
      </c>
      <c r="W78" s="106">
        <f>IF(W63="","",IFERROR(VLOOKUP(T62,[2]DATA!$A$12:$H$16,4,TRUE),0))</f>
        <v>1</v>
      </c>
      <c r="X78" s="106">
        <f>IF(X63="","",IFERROR(VLOOKUP(T62,[2]DATA!$A$12:$H$16,5,TRUE),0))</f>
        <v>1</v>
      </c>
      <c r="Y78" s="106">
        <f>IF(Y63="","",IFERROR(VLOOKUP(T62,[2]DATA!$A$12:$H$16,6,TRUE),0))</f>
        <v>1</v>
      </c>
      <c r="Z78" s="106"/>
      <c r="AA78" s="106"/>
      <c r="AB78" s="106">
        <f>SUM(U78:Y78)</f>
        <v>5</v>
      </c>
      <c r="AC78" s="106"/>
      <c r="AD78" s="106">
        <f>IF(AD63="","",IFERROR(VLOOKUP(AC62,[2]DATA!$A$12:$H$16,2,TRUE),0))</f>
        <v>1</v>
      </c>
      <c r="AE78" s="106">
        <f>IF(AE63="","",IFERROR(VLOOKUP(AC62,[2]DATA!$A$12:$H$16,3,TRUE),0))</f>
        <v>0</v>
      </c>
      <c r="AF78" s="106">
        <f>IF(AF63="","",IFERROR(VLOOKUP(AC62,[2]DATA!$A$12:$H$16,4,TRUE),0))</f>
        <v>0</v>
      </c>
      <c r="AG78" s="106">
        <f>IF(AG63="","",IFERROR(VLOOKUP(AC62,[2]DATA!$A$12:$H$16,5,TRUE),0))</f>
        <v>1</v>
      </c>
      <c r="AH78" s="106">
        <f>IF(AH63="","",IFERROR(VLOOKUP(AC62,[2]DATA!$A$12:$H$16,6,TRUE),0))</f>
        <v>1</v>
      </c>
      <c r="AI78" s="106"/>
      <c r="AJ78" s="106"/>
      <c r="AK78" s="106">
        <f>SUM(AD78:AH78)</f>
        <v>3</v>
      </c>
      <c r="AL78" s="106"/>
      <c r="AM78" s="106">
        <f>IF(AM63="","",IFERROR(VLOOKUP(AL62,[2]DATA!$A$12:$H$16,2,TRUE),0))</f>
        <v>1</v>
      </c>
      <c r="AN78" s="106">
        <f>IF(AN63="","",IFERROR(VLOOKUP(AL62,[2]DATA!$A$12:$H$16,3,TRUE),0))</f>
        <v>1</v>
      </c>
      <c r="AO78" s="106">
        <f>IF(AO63="","",IFERROR(VLOOKUP(AL62,[2]DATA!$A$12:$H$16,4,TRUE),0))</f>
        <v>1</v>
      </c>
      <c r="AP78" s="106">
        <f>IF(AP63="","",IFERROR(VLOOKUP(AL62,[2]DATA!$A$12:$H$16,5,TRUE),0))</f>
        <v>1</v>
      </c>
      <c r="AQ78" s="106">
        <f>IF(AQ63="","",IFERROR(VLOOKUP(AL62,[2]DATA!$A$12:$H$16,6,TRUE),0))</f>
        <v>1</v>
      </c>
      <c r="AR78" s="106"/>
      <c r="AS78" s="106"/>
      <c r="AT78" s="106">
        <f>SUM(AM78:AQ78)</f>
        <v>5</v>
      </c>
      <c r="AU78" s="106"/>
      <c r="AV78" s="106">
        <f>IF(AV63="","",IFERROR(VLOOKUP(AU62,[2]DATA!$A$12:$H$16,2,TRUE),0))</f>
        <v>1</v>
      </c>
      <c r="AW78" s="106" t="str">
        <f>IF(AW63="","",IFERROR(VLOOKUP(AU62,[2]DATA!$A$12:$H$16,3,TRUE),0))</f>
        <v/>
      </c>
      <c r="AX78" s="106">
        <f>SUM(AV78:AW78)</f>
        <v>1</v>
      </c>
      <c r="AY78" s="107"/>
      <c r="AZ78" s="34"/>
      <c r="BA78" s="34"/>
      <c r="BB78" s="34"/>
      <c r="BC78" s="34"/>
      <c r="BD78" s="34"/>
      <c r="BE78" s="34"/>
      <c r="BF78" s="98"/>
    </row>
    <row r="79" spans="1:59" s="99" customFormat="1" ht="15" customHeight="1">
      <c r="A79" s="108" t="s">
        <v>113</v>
      </c>
      <c r="B79" s="109"/>
      <c r="C79" s="53"/>
      <c r="D79" s="53"/>
      <c r="E79" s="53"/>
      <c r="F79" s="53"/>
      <c r="G79" s="53"/>
      <c r="H79" s="53"/>
      <c r="I79" s="53"/>
      <c r="J79" s="53">
        <f>J66-J78</f>
        <v>0</v>
      </c>
      <c r="K79" s="53"/>
      <c r="L79" s="53"/>
      <c r="M79" s="53"/>
      <c r="N79" s="53"/>
      <c r="O79" s="53"/>
      <c r="P79" s="53"/>
      <c r="Q79" s="53"/>
      <c r="R79" s="53"/>
      <c r="S79" s="53">
        <f>S66-S78</f>
        <v>0</v>
      </c>
      <c r="T79" s="53"/>
      <c r="U79" s="53"/>
      <c r="V79" s="53"/>
      <c r="W79" s="53"/>
      <c r="X79" s="53"/>
      <c r="Y79" s="53"/>
      <c r="Z79" s="53"/>
      <c r="AA79" s="53"/>
      <c r="AB79" s="53">
        <f>AB66-AB78</f>
        <v>0</v>
      </c>
      <c r="AC79" s="53"/>
      <c r="AD79" s="53"/>
      <c r="AE79" s="53"/>
      <c r="AF79" s="53"/>
      <c r="AG79" s="53"/>
      <c r="AH79" s="53"/>
      <c r="AI79" s="53"/>
      <c r="AJ79" s="53"/>
      <c r="AK79" s="53">
        <f>AK66-AK78</f>
        <v>0</v>
      </c>
      <c r="AL79" s="53"/>
      <c r="AM79" s="53"/>
      <c r="AN79" s="53"/>
      <c r="AO79" s="53"/>
      <c r="AP79" s="53"/>
      <c r="AQ79" s="53"/>
      <c r="AR79" s="53"/>
      <c r="AS79" s="53"/>
      <c r="AT79" s="53">
        <f>AT66-AT78</f>
        <v>0</v>
      </c>
      <c r="AU79" s="53"/>
      <c r="AV79" s="53"/>
      <c r="AW79" s="53"/>
      <c r="AX79" s="53">
        <f>AX66-AX78</f>
        <v>0</v>
      </c>
      <c r="AY79" s="110">
        <f>AT79+AK79+AB79+S79+J79</f>
        <v>0</v>
      </c>
      <c r="AZ79" s="34"/>
      <c r="BA79" s="34"/>
      <c r="BB79" s="34"/>
      <c r="BC79" s="34"/>
      <c r="BD79" s="34"/>
      <c r="BE79" s="34"/>
      <c r="BF79" s="98"/>
    </row>
    <row r="80" spans="1:59" s="5" customFormat="1" ht="27">
      <c r="A80" s="16"/>
      <c r="B80" s="16"/>
      <c r="C80" s="101" t="s">
        <v>16</v>
      </c>
      <c r="D80" s="101"/>
      <c r="E80" s="101"/>
      <c r="F80" s="101"/>
      <c r="G80" s="101"/>
      <c r="H80" s="112">
        <f>Année_Calendaire</f>
        <v>2018</v>
      </c>
      <c r="I80" s="112"/>
      <c r="J80" s="94"/>
      <c r="K80" s="43"/>
      <c r="L80" s="102"/>
      <c r="M80" s="102"/>
      <c r="N80" s="102"/>
      <c r="O80" s="102"/>
      <c r="P80" s="102"/>
      <c r="Q80" s="102"/>
      <c r="R80" s="102"/>
      <c r="S80" s="36"/>
      <c r="T80" s="43"/>
      <c r="U80" s="101" t="s">
        <v>16</v>
      </c>
      <c r="V80" s="101"/>
      <c r="W80" s="101"/>
      <c r="X80" s="101"/>
      <c r="Y80" s="101"/>
      <c r="Z80" s="112">
        <f>Année_Calendaire</f>
        <v>2018</v>
      </c>
      <c r="AA80" s="112"/>
      <c r="AB80" s="36"/>
      <c r="AC80" s="43"/>
      <c r="AD80" s="102"/>
      <c r="AE80" s="102"/>
      <c r="AF80" s="102"/>
      <c r="AG80" s="102"/>
      <c r="AH80" s="102"/>
      <c r="AI80" s="102"/>
      <c r="AJ80" s="102"/>
      <c r="AK80" s="36"/>
      <c r="AL80" s="43"/>
      <c r="AM80" s="101" t="s">
        <v>16</v>
      </c>
      <c r="AN80" s="101"/>
      <c r="AO80" s="101"/>
      <c r="AP80" s="101"/>
      <c r="AQ80" s="101"/>
      <c r="AR80" s="112">
        <f>Année_Calendaire</f>
        <v>2018</v>
      </c>
      <c r="AS80" s="112"/>
      <c r="AT80" s="36"/>
      <c r="AU80" s="43"/>
      <c r="AV80" s="25"/>
      <c r="AW80" s="25"/>
      <c r="AX80" s="36"/>
      <c r="AY80" s="39"/>
      <c r="AZ80" s="39"/>
      <c r="BA80" s="39"/>
      <c r="BB80" s="39"/>
      <c r="BC80" s="39"/>
      <c r="BD80" s="39"/>
      <c r="BE80" s="39"/>
      <c r="BF80" s="29"/>
    </row>
    <row r="81" spans="1:59" s="22" customFormat="1" ht="29.25" customHeight="1">
      <c r="A81" s="35"/>
      <c r="B81" s="54" t="str">
        <f>IF(C81="",AU62,LEFT(AU62)&amp;MOD(RIGHT(AU62),4)+1)</f>
        <v>c1</v>
      </c>
      <c r="C81" s="100" t="str">
        <f>IF(C82&lt;&gt;"","Lun","")</f>
        <v/>
      </c>
      <c r="D81" s="100" t="str">
        <f>IF(D82&lt;&gt;"","Mar","")</f>
        <v>Mar</v>
      </c>
      <c r="E81" s="100" t="str">
        <f>IF(E82&lt;&gt;"","Mer","")</f>
        <v>Mer</v>
      </c>
      <c r="F81" s="100" t="str">
        <f>IF(F82&lt;&gt;"","Jeu","")</f>
        <v>Jeu</v>
      </c>
      <c r="G81" s="100" t="str">
        <f>IF(G82&lt;&gt;"","Ven","")</f>
        <v>Ven</v>
      </c>
      <c r="H81" s="100" t="str">
        <f>IF(H82&lt;&gt;"","Sam","")</f>
        <v>Sam</v>
      </c>
      <c r="I81" s="100" t="str">
        <f>IF(I82&lt;&gt;"","Dim","")</f>
        <v>Dim</v>
      </c>
      <c r="J81" s="113" t="s">
        <v>25</v>
      </c>
      <c r="K81" s="54" t="str">
        <f>IF(L81="",LEFT(B81)&amp;MOD(RIGHT(B81),5),LEFT(B81)&amp;MOD(RIGHT(B81),4)+1)</f>
        <v>c2</v>
      </c>
      <c r="L81" s="100" t="str">
        <f>IF(L82&lt;&gt;"","Lun","")</f>
        <v>Lun</v>
      </c>
      <c r="M81" s="100" t="str">
        <f>IF(M82&lt;&gt;"","Mar","")</f>
        <v>Mar</v>
      </c>
      <c r="N81" s="100" t="str">
        <f>IF(N82&lt;&gt;"","Mer","")</f>
        <v>Mer</v>
      </c>
      <c r="O81" s="100" t="str">
        <f>IF(O82&lt;&gt;"","Jeu","")</f>
        <v>Jeu</v>
      </c>
      <c r="P81" s="100" t="str">
        <f>IF(P82&lt;&gt;"","Ven","")</f>
        <v>Ven</v>
      </c>
      <c r="Q81" s="100" t="str">
        <f>IF(Q82&lt;&gt;"","Sam","")</f>
        <v>Sam</v>
      </c>
      <c r="R81" s="100" t="str">
        <f>IF(R82&lt;&gt;"","Dim","")</f>
        <v>Dim</v>
      </c>
      <c r="S81" s="113" t="s">
        <v>25</v>
      </c>
      <c r="T81" s="54" t="str">
        <f>IF(U81="",LEFT(K81)&amp;MOD(RIGHT(K81),5),LEFT(K81)&amp;MOD(RIGHT(K81),4)+1)</f>
        <v>c3</v>
      </c>
      <c r="U81" s="100" t="str">
        <f>IF(U82&lt;&gt;"","Lun","")</f>
        <v>Lun</v>
      </c>
      <c r="V81" s="100" t="str">
        <f>IF(V82&lt;&gt;"","Mar","")</f>
        <v>Mar</v>
      </c>
      <c r="W81" s="100" t="str">
        <f>IF(W82&lt;&gt;"","Mer","")</f>
        <v>Mer</v>
      </c>
      <c r="X81" s="100" t="str">
        <f>IF(X82&lt;&gt;"","Jeu","")</f>
        <v>Jeu</v>
      </c>
      <c r="Y81" s="100" t="str">
        <f>IF(Y82&lt;&gt;"","Ven","")</f>
        <v>Ven</v>
      </c>
      <c r="Z81" s="100" t="str">
        <f>IF(Z82&lt;&gt;"","Sam","")</f>
        <v>Sam</v>
      </c>
      <c r="AA81" s="100" t="str">
        <f>IF(AA82&lt;&gt;"","Dim","")</f>
        <v>Dim</v>
      </c>
      <c r="AB81" s="113" t="s">
        <v>25</v>
      </c>
      <c r="AC81" s="54" t="str">
        <f>IF(AD81="",LEFT(T81)&amp;MOD(RIGHT(T81),5),LEFT(T81)&amp;MOD(RIGHT(T81),4)+1)</f>
        <v>c4</v>
      </c>
      <c r="AD81" s="100" t="str">
        <f>IF(AD82&lt;&gt;"","Lun","")</f>
        <v>Lun</v>
      </c>
      <c r="AE81" s="100" t="str">
        <f>IF(AE82&lt;&gt;"","Mar","")</f>
        <v>Mar</v>
      </c>
      <c r="AF81" s="100" t="str">
        <f>IF(AF82&lt;&gt;"","Mer","")</f>
        <v>Mer</v>
      </c>
      <c r="AG81" s="100" t="str">
        <f>IF(AG82&lt;&gt;"","Jeu","")</f>
        <v>Jeu</v>
      </c>
      <c r="AH81" s="100" t="str">
        <f>IF(AH82&lt;&gt;"","Ven","")</f>
        <v>Ven</v>
      </c>
      <c r="AI81" s="100" t="str">
        <f>IF(AI82&lt;&gt;"","Sam","")</f>
        <v>Sam</v>
      </c>
      <c r="AJ81" s="100" t="str">
        <f>IF(AJ82&lt;&gt;"","Dim","")</f>
        <v>Dim</v>
      </c>
      <c r="AK81" s="113" t="s">
        <v>25</v>
      </c>
      <c r="AL81" s="54" t="str">
        <f>IF(AM81="",LEFT(AC81)&amp;MOD(RIGHT(AC81),5),LEFT(AC81)&amp;MOD(RIGHT(AC81),4)+1)</f>
        <v>c1</v>
      </c>
      <c r="AM81" s="100" t="str">
        <f>IF(AM82&lt;&gt;"","Lun","")</f>
        <v>Lun</v>
      </c>
      <c r="AN81" s="100" t="str">
        <f>IF(AN82&lt;&gt;"","Mar","")</f>
        <v>Mar</v>
      </c>
      <c r="AO81" s="100" t="str">
        <f>IF(AO82&lt;&gt;"","Mer","")</f>
        <v>Mer</v>
      </c>
      <c r="AP81" s="100" t="str">
        <f>IF(AP82&lt;&gt;"","Jeu","")</f>
        <v>Jeu</v>
      </c>
      <c r="AQ81" s="100" t="str">
        <f>IF(AQ82&lt;&gt;"","Ven","")</f>
        <v/>
      </c>
      <c r="AR81" s="100" t="str">
        <f>IF(AR82&lt;&gt;"","Sam","")</f>
        <v/>
      </c>
      <c r="AS81" s="100" t="str">
        <f>IF(AS82&lt;&gt;"","Dim","")</f>
        <v/>
      </c>
      <c r="AT81" s="113" t="s">
        <v>25</v>
      </c>
      <c r="AU81" s="54" t="str">
        <f>IF(AV81="",LEFT(AL81)&amp;MOD(RIGHT(AL81),5),LEFT(AL81)&amp;MOD(RIGHT(AL81),4)+1)</f>
        <v>c1</v>
      </c>
      <c r="AV81" s="52" t="str">
        <f>IF(AV82&lt;&gt;"","Lun","")</f>
        <v/>
      </c>
      <c r="AW81" s="52" t="str">
        <f>IF(AW82&lt;&gt;"","Mar","")</f>
        <v/>
      </c>
      <c r="AX81" s="113" t="s">
        <v>25</v>
      </c>
      <c r="AY81" s="113" t="s">
        <v>28</v>
      </c>
      <c r="AZ81" s="114">
        <f>AY88+AY89+AY90</f>
        <v>0</v>
      </c>
      <c r="BA81" s="114">
        <f>AZ81+BA62</f>
        <v>0</v>
      </c>
      <c r="BB81" s="38"/>
      <c r="BC81" s="38"/>
      <c r="BD81" s="38"/>
      <c r="BE81" s="38"/>
      <c r="BF81" s="33"/>
    </row>
    <row r="82" spans="1:59" s="24" customFormat="1" ht="15" customHeight="1">
      <c r="A82" s="10"/>
      <c r="B82" s="53"/>
      <c r="C82" s="85" t="str">
        <f>IF(DAY(Mai_Dim1)=1,"",IF(AND(YEAR(Mai_Dim1+1)=Année_Calendaire,MONTH(Mai_Dim1+1)=5),Mai_Dim1+1,""))</f>
        <v/>
      </c>
      <c r="D82" s="85">
        <f>IF(DAY(Mai_Dim1)=1,"",IF(AND(YEAR(Mai_Dim1+2)=Année_Calendaire,MONTH(Mai_Dim1+2)=5),Mai_Dim1+2,""))</f>
        <v>43221</v>
      </c>
      <c r="E82" s="85">
        <f>IF(DAY(Mai_Dim1)=1,"",IF(AND(YEAR(Mai_Dim1+3)=Année_Calendaire,MONTH(Mai_Dim1+3)=5),Mai_Dim1+3,""))</f>
        <v>43222</v>
      </c>
      <c r="F82" s="85">
        <f>IF(DAY(Mai_Dim1)=1,"",IF(AND(YEAR(Mai_Dim1+4)=Année_Calendaire,MONTH(Mai_Dim1+4)=5),Mai_Dim1+4,""))</f>
        <v>43223</v>
      </c>
      <c r="G82" s="85">
        <f>IF(DAY(Mai_Dim1)=1,"",IF(AND(YEAR(Mai_Dim1+5)=Année_Calendaire,MONTH(Mai_Dim1+5)=5),Mai_Dim1+5,""))</f>
        <v>43224</v>
      </c>
      <c r="H82" s="85">
        <f>IF(DAY(Mai_Dim1)=1,"",IF(AND(YEAR(Mai_Dim1+6)=Année_Calendaire,MONTH(Mai_Dim1+6)=5),Mai_Dim1+6,""))</f>
        <v>43225</v>
      </c>
      <c r="I82" s="87">
        <f>IF(DAY(Mai_Dim1)=1,IF(AND(YEAR(Mai_Dim1)=Année_Calendaire,MONTH(Mai_Dim1)=5),Mai_Dim1,""),IF(AND(YEAR(Mai_Dim1+7)=Année_Calendaire,MONTH(Mai_Dim1+7)=5),Mai_Dim1+7,""))</f>
        <v>43226</v>
      </c>
      <c r="J82" s="113"/>
      <c r="K82" s="53"/>
      <c r="L82" s="85">
        <f>IF(DAY(Mai_Dim1)=1,IF(AND(YEAR(Mai_Dim1+1)=Année_Calendaire,MONTH(Mai_Dim1+1)=5),Mai_Dim1+1,""),IF(AND(YEAR(Mai_Dim1+8)=Année_Calendaire,MONTH(Mai_Dim1+8)=5),Mai_Dim1+8,""))</f>
        <v>43227</v>
      </c>
      <c r="M82" s="85">
        <f>IF(DAY(Mai_Dim1)=1,IF(AND(YEAR(Mai_Dim1+2)=Année_Calendaire,MONTH(Mai_Dim1+2)=5),Mai_Dim1+2,""),IF(AND(YEAR(Mai_Dim1+9)=Année_Calendaire,MONTH(Mai_Dim1+9)=5),Mai_Dim1+9,""))</f>
        <v>43228</v>
      </c>
      <c r="N82" s="85">
        <f>IF(DAY(Mai_Dim1)=1,IF(AND(YEAR(Mai_Dim1+3)=Année_Calendaire,MONTH(Mai_Dim1+3)=5),Mai_Dim1+3,""),IF(AND(YEAR(Mai_Dim1+10)=Année_Calendaire,MONTH(Mai_Dim1+10)=5),Mai_Dim1+10,""))</f>
        <v>43229</v>
      </c>
      <c r="O82" s="85">
        <f>IF(DAY(Mai_Dim1)=1,IF(AND(YEAR(Mai_Dim1+4)=Année_Calendaire,MONTH(Mai_Dim1+4)=5),Mai_Dim1+4,""),IF(AND(YEAR(Mai_Dim1+11)=Année_Calendaire,MONTH(Mai_Dim1+11)=5),Mai_Dim1+11,""))</f>
        <v>43230</v>
      </c>
      <c r="P82" s="85">
        <f>IF(DAY(Mai_Dim1)=1,IF(AND(YEAR(Mai_Dim1+5)=Année_Calendaire,MONTH(Mai_Dim1+5)=5),Mai_Dim1+5,""),IF(AND(YEAR(Mai_Dim1+12)=Année_Calendaire,MONTH(Mai_Dim1+12)=5),Mai_Dim1+12,""))</f>
        <v>43231</v>
      </c>
      <c r="Q82" s="85">
        <f>IF(DAY(Mai_Dim1)=1,IF(AND(YEAR(Mai_Dim1+6)=Année_Calendaire,MONTH(Mai_Dim1+6)=5),Mai_Dim1+6,""),IF(AND(YEAR(Mai_Dim1+13)=Année_Calendaire,MONTH(Mai_Dim1+13)=5),Mai_Dim1+13,""))</f>
        <v>43232</v>
      </c>
      <c r="R82" s="87">
        <f>IF(DAY(Mai_Dim1)=1,IF(AND(YEAR(Mai_Dim1+7)=Année_Calendaire,MONTH(Mai_Dim1+7)=5),Mai_Dim1+7,""),IF(AND(YEAR(Mai_Dim1+14)=Année_Calendaire,MONTH(Mai_Dim1+14)=5),Mai_Dim1+14,""))</f>
        <v>43233</v>
      </c>
      <c r="S82" s="113"/>
      <c r="T82" s="53"/>
      <c r="U82" s="85">
        <f>IF(DAY(Mai_Dim1)=1,IF(AND(YEAR(Mai_Dim1+8)=Année_Calendaire,MONTH(Mai_Dim1+8)=5),Mai_Dim1+8,""),IF(AND(YEAR(Mai_Dim1+15)=Année_Calendaire,MONTH(Mai_Dim1+15)=5),Mai_Dim1+15,""))</f>
        <v>43234</v>
      </c>
      <c r="V82" s="85">
        <f>IF(DAY(Mai_Dim1)=1,IF(AND(YEAR(Mai_Dim1+9)=Année_Calendaire,MONTH(Mai_Dim1+9)=5),Mai_Dim1+9,""),IF(AND(YEAR(Mai_Dim1+16)=Année_Calendaire,MONTH(Mai_Dim1+16)=5),Mai_Dim1+16,""))</f>
        <v>43235</v>
      </c>
      <c r="W82" s="85">
        <f>IF(DAY(Mai_Dim1)=1,IF(AND(YEAR(Mai_Dim1+10)=Année_Calendaire,MONTH(Mai_Dim1+10)=5),Mai_Dim1+10,""),IF(AND(YEAR(Mai_Dim1+17)=Année_Calendaire,MONTH(Mai_Dim1+17)=5),Mai_Dim1+17,""))</f>
        <v>43236</v>
      </c>
      <c r="X82" s="85">
        <f>IF(DAY(Mai_Dim1)=1,IF(AND(YEAR(Mai_Dim1+11)=Année_Calendaire,MONTH(Mai_Dim1+11)=5),Mai_Dim1+11,""),IF(AND(YEAR(Mai_Dim1+18)=Année_Calendaire,MONTH(Mai_Dim1+18)=5),Mai_Dim1+18,""))</f>
        <v>43237</v>
      </c>
      <c r="Y82" s="85">
        <f>IF(DAY(Mai_Dim1)=1,IF(AND(YEAR(Mai_Dim1+12)=Année_Calendaire,MONTH(Mai_Dim1+12)=5),Mai_Dim1+12,""),IF(AND(YEAR(Mai_Dim1+19)=Année_Calendaire,MONTH(Mai_Dim1+19)=5),Mai_Dim1+19,""))</f>
        <v>43238</v>
      </c>
      <c r="Z82" s="85">
        <f>IF(DAY(Mai_Dim1)=1,IF(AND(YEAR(Mai_Dim1+13)=Année_Calendaire,MONTH(Mai_Dim1+13)=5),Mai_Dim1+13,""),IF(AND(YEAR(Mai_Dim1+20)=Année_Calendaire,MONTH(Mai_Dim1+20)=5),Mai_Dim1+20,""))</f>
        <v>43239</v>
      </c>
      <c r="AA82" s="85">
        <f>IF(DAY(Mai_Dim1)=1,IF(AND(YEAR(Mai_Dim1+14)=Année_Calendaire,MONTH(Mai_Dim1+14)=5),Mai_Dim1+14,""),IF(AND(YEAR(Mai_Dim1+21)=Année_Calendaire,MONTH(Mai_Dim1+21)=5),Mai_Dim1+21,""))</f>
        <v>43240</v>
      </c>
      <c r="AB82" s="113"/>
      <c r="AC82" s="53"/>
      <c r="AD82" s="85">
        <f>IF(DAY(Mai_Dim1)=1,IF(AND(YEAR(Mai_Dim1+15)=Année_Calendaire,MONTH(Mai_Dim1+15)=5),Mai_Dim1+15,""),IF(AND(YEAR(Mai_Dim1+22)=Année_Calendaire,MONTH(Mai_Dim1+22)=5),Mai_Dim1+22,""))</f>
        <v>43241</v>
      </c>
      <c r="AE82" s="85">
        <f>IF(DAY(Mai_Dim1)=1,IF(AND(YEAR(Mai_Dim1+16)=Année_Calendaire,MONTH(Mai_Dim1+16)=5),Mai_Dim1+16,""),IF(AND(YEAR(Mai_Dim1+23)=Année_Calendaire,MONTH(Mai_Dim1+23)=5),Mai_Dim1+23,""))</f>
        <v>43242</v>
      </c>
      <c r="AF82" s="85">
        <f>IF(DAY(Mai_Dim1)=1,IF(AND(YEAR(Mai_Dim1+17)=Année_Calendaire,MONTH(Mai_Dim1+17)=5),Mai_Dim1+17,""),IF(AND(YEAR(Mai_Dim1+24)=Année_Calendaire,MONTH(Mai_Dim1+24)=5),Mai_Dim1+24,""))</f>
        <v>43243</v>
      </c>
      <c r="AG82" s="85">
        <f>IF(DAY(Mai_Dim1)=1,IF(AND(YEAR(Mai_Dim1+18)=Année_Calendaire,MONTH(Mai_Dim1+18)=5),Mai_Dim1+18,""),IF(AND(YEAR(Mai_Dim1+25)=Année_Calendaire,MONTH(Mai_Dim1+25)=5),Mai_Dim1+25,""))</f>
        <v>43244</v>
      </c>
      <c r="AH82" s="85">
        <f>IF(DAY(Mai_Dim1)=1,IF(AND(YEAR(Mai_Dim1+19)=Année_Calendaire,MONTH(Mai_Dim1+19)=5),Mai_Dim1+19,""),IF(AND(YEAR(Mai_Dim1+26)=Année_Calendaire,MONTH(Mai_Dim1+26)=5),Mai_Dim1+26,""))</f>
        <v>43245</v>
      </c>
      <c r="AI82" s="85">
        <f>IF(DAY(Mai_Dim1)=1,IF(AND(YEAR(Mai_Dim1+20)=Année_Calendaire,MONTH(Mai_Dim1+20)=5),Mai_Dim1+20,""),IF(AND(YEAR(Mai_Dim1+27)=Année_Calendaire,MONTH(Mai_Dim1+27)=5),Mai_Dim1+27,""))</f>
        <v>43246</v>
      </c>
      <c r="AJ82" s="85">
        <f>IF(DAY(Mai_Dim1)=1,IF(AND(YEAR(Mai_Dim1+21)=Année_Calendaire,MONTH(Mai_Dim1+21)=5),Mai_Dim1+21,""),IF(AND(YEAR(Mai_Dim1+28)=Année_Calendaire,MONTH(Mai_Dim1+28)=5),Mai_Dim1+28,""))</f>
        <v>43247</v>
      </c>
      <c r="AK82" s="113"/>
      <c r="AL82" s="53"/>
      <c r="AM82" s="85">
        <f>IF(DAY(Mai_Dim1)=1,IF(AND(YEAR(Mai_Dim1+22)=Année_Calendaire,MONTH(Mai_Dim1+22)=5),Mai_Dim1+22,""),IF(AND(YEAR(Mai_Dim1+29)=Année_Calendaire,MONTH(Mai_Dim1+29)=5),Mai_Dim1+29,""))</f>
        <v>43248</v>
      </c>
      <c r="AN82" s="85">
        <f>IF(DAY(Mai_Dim1)=1,IF(AND(YEAR(Mai_Dim1+23)=Année_Calendaire,MONTH(Mai_Dim1+23)=5),Mai_Dim1+23,""),IF(AND(YEAR(Mai_Dim1+30)=Année_Calendaire,MONTH(Mai_Dim1+30)=5),Mai_Dim1+30,""))</f>
        <v>43249</v>
      </c>
      <c r="AO82" s="85">
        <f>IF(DAY(Mai_Dim1)=1,IF(AND(YEAR(Mai_Dim1+24)=Année_Calendaire,MONTH(Mai_Dim1+24)=5),Mai_Dim1+24,""),IF(AND(YEAR(Mai_Dim1+31)=Année_Calendaire,MONTH(Mai_Dim1+31)=5),Mai_Dim1+31,""))</f>
        <v>43250</v>
      </c>
      <c r="AP82" s="87">
        <f>IF(DAY(Mai_Dim1)=1,IF(AND(YEAR(Mai_Dim1+25)=Année_Calendaire,MONTH(Mai_Dim1+25)=5),Mai_Dim1+25,""),IF(AND(YEAR(Mai_Dim1+32)=Année_Calendaire,MONTH(Mai_Dim1+32)=5),Mai_Dim1+32,""))</f>
        <v>43251</v>
      </c>
      <c r="AQ82" s="85" t="str">
        <f>IF(DAY(Mai_Dim1)=1,IF(AND(YEAR(Mai_Dim1+26)=Année_Calendaire,MONTH(Mai_Dim1+26)=5),Mai_Dim1+26,""),IF(AND(YEAR(Mai_Dim1+33)=Année_Calendaire,MONTH(Mai_Dim1+33)=5),Mai_Dim1+33,""))</f>
        <v/>
      </c>
      <c r="AR82" s="85" t="str">
        <f>IF(DAY(Mai_Dim1)=1,IF(AND(YEAR(Mai_Dim1+27)=Année_Calendaire,MONTH(Mai_Dim1+27)=5),Mai_Dim1+27,""),IF(AND(YEAR(Mai_Dim1+34)=Année_Calendaire,MONTH(Mai_Dim1+34)=5),Mai_Dim1+34,""))</f>
        <v/>
      </c>
      <c r="AS82" s="85" t="str">
        <f>IF(DAY(Mai_Dim1)=1,IF(AND(YEAR(Mai_Dim1+28)=Année_Calendaire,MONTH(Mai_Dim1+28)=5),Mai_Dim1+28,""),IF(AND(YEAR(Mai_Dim1+35)=Année_Calendaire,MONTH(Mai_Dim1+35)=5),Mai_Dim1+35,""))</f>
        <v/>
      </c>
      <c r="AT82" s="113"/>
      <c r="AU82" s="53"/>
      <c r="AV82" s="53" t="str">
        <f>IF(DAY(Mai_Dim1)=1,IF(AND(YEAR(Mai_Dim1+29)=Année_Calendaire,MONTH(Mai_Dim1+29)=5),Mai_Dim1+29,""),IF(AND(YEAR(Mai_Dim1+36)=Année_Calendaire,MONTH(Mai_Dim1+36)=5),Mai_Dim1+36,""))</f>
        <v/>
      </c>
      <c r="AW82" s="53" t="str">
        <f>IF(DAY(Mai_Dim1)=1,IF(AND(YEAR(Mai_Dim1+30)=Année_Calendaire,MONTH(Mai_Dim1+30)=5),Mai_Dim1+30,""),IF(AND(YEAR(Mai_Dim1+37)=Année_Calendaire,MONTH(Mai_Dim1+37)=5),Mai_Dim1+37,""))</f>
        <v/>
      </c>
      <c r="AX82" s="113"/>
      <c r="AY82" s="113"/>
      <c r="AZ82" s="114"/>
      <c r="BA82" s="114"/>
      <c r="BB82" s="31"/>
      <c r="BC82" s="31"/>
      <c r="BD82" s="31"/>
      <c r="BE82" s="31"/>
      <c r="BF82" s="23"/>
    </row>
    <row r="83" spans="1:59" s="5" customFormat="1" ht="15" customHeight="1">
      <c r="A83" s="47" t="s">
        <v>2</v>
      </c>
      <c r="B83" s="47"/>
      <c r="C83" s="48" t="str">
        <f>IF(C82="","",IFERROR(VLOOKUP(B81,DATA!$A$5:$H$9,2,TRUE),0))</f>
        <v/>
      </c>
      <c r="D83" s="48" t="str">
        <f>IF(D82="","",IFERROR(VLOOKUP(B81,DATA!$A$5:$H$9,3,TRUE),0))</f>
        <v>matin</v>
      </c>
      <c r="E83" s="48" t="str">
        <f>IF(E82="","",IFERROR(VLOOKUP(B81,DATA!$A$5:$H$9,4,TRUE),0))</f>
        <v>matin</v>
      </c>
      <c r="F83" s="48">
        <f>IF(F82="","",IFERROR(VLOOKUP(B81,DATA!$A$5:$H$9,5,TRUE),0))</f>
        <v>0</v>
      </c>
      <c r="G83" s="48">
        <f>IF(G82="","",IFERROR(VLOOKUP(B81,DATA!$A$5:$H$9,6,TRUE),0))</f>
        <v>0</v>
      </c>
      <c r="H83" s="48">
        <f>IF(H82="","",IFERROR(VLOOKUP(B81,DATA!$A$5:$H$9,7,TRUE),0))</f>
        <v>0</v>
      </c>
      <c r="I83" s="48">
        <f>IF(I82="","",IFERROR(VLOOKUP(B81,DATA!$A$5:$H$9,8,TRUE),0))</f>
        <v>0</v>
      </c>
      <c r="J83" s="51">
        <f>IF(B81="c1",24,IF((B81="c3"),24,40))</f>
        <v>24</v>
      </c>
      <c r="K83" s="47"/>
      <c r="L83" s="48" t="str">
        <f>IF(L82="","",IFERROR(VLOOKUP(K81,DATA!$A$5:$H$9,2,TRUE),0))</f>
        <v>nuit</v>
      </c>
      <c r="M83" s="48" t="str">
        <f>IF(M82="","",IFERROR(VLOOKUP(K81,DATA!$A$5:$H$9,3,TRUE),0))</f>
        <v>nuit</v>
      </c>
      <c r="N83" s="48" t="str">
        <f>IF(N82="","",IFERROR(VLOOKUP(K81,DATA!$A$5:$H$9,4,TRUE),0))</f>
        <v>nuit</v>
      </c>
      <c r="O83" s="48" t="str">
        <f>IF(O82="","",IFERROR(VLOOKUP(K81,DATA!$A$5:$H$9,5,TRUE),0))</f>
        <v>nuit</v>
      </c>
      <c r="P83" s="48" t="str">
        <f>IF(P82="","",IFERROR(VLOOKUP(K81,DATA!$A$5:$H$9,6,TRUE),0))</f>
        <v>nuit</v>
      </c>
      <c r="Q83" s="48">
        <f>IF(Q82="","",IFERROR(VLOOKUP(K81,DATA!$A$5:$H$9,7,TRUE),0))</f>
        <v>0</v>
      </c>
      <c r="R83" s="48">
        <f>IF(R82="","",IFERROR(VLOOKUP(K81,DATA!$A$5:$H$9,8,TRUE),0))</f>
        <v>0</v>
      </c>
      <c r="S83" s="51">
        <f>IF(K81="c1",24,IF((K81="c3"),24,40))</f>
        <v>40</v>
      </c>
      <c r="T83" s="47"/>
      <c r="U83" s="48" t="str">
        <f>IF(U82="","",IFERROR(VLOOKUP(T81,DATA!$A$5:$H$9,2,TRUE),0))</f>
        <v>matin</v>
      </c>
      <c r="V83" s="48">
        <f>IF(V82="","",IFERROR(VLOOKUP(T81,DATA!$A$5:$H$9,3,TRUE),0))</f>
        <v>0</v>
      </c>
      <c r="W83" s="48">
        <f>IF(W82="","",IFERROR(VLOOKUP(T81,DATA!$A$5:$H$9,4,TRUE),0))</f>
        <v>0</v>
      </c>
      <c r="X83" s="48" t="str">
        <f>IF(X82="","",IFERROR(VLOOKUP(T81,DATA!$A$5:$H$9,5,TRUE),0))</f>
        <v>matin</v>
      </c>
      <c r="Y83" s="48" t="str">
        <f>IF(Y82="","",IFERROR(VLOOKUP(T81,DATA!$A$5:$H$9,6,TRUE),0))</f>
        <v>matin</v>
      </c>
      <c r="Z83" s="48">
        <f>IF(Z82="","",IFERROR(VLOOKUP(T81,DATA!$A$5:$H$9,7,TRUE),0))</f>
        <v>0</v>
      </c>
      <c r="AA83" s="48">
        <f>IF(AA82="","",IFERROR(VLOOKUP(T81,DATA!$A$5:$H$9,8,TRUE),0))</f>
        <v>0</v>
      </c>
      <c r="AB83" s="51">
        <f>IF(T81="c1",24,IF((T81="c3"),24,40))</f>
        <v>24</v>
      </c>
      <c r="AC83" s="47"/>
      <c r="AD83" s="48" t="str">
        <f>IF(AD82="","",IFERROR(VLOOKUP(AC81,DATA!$A$5:$H$9,2,TRUE),0))</f>
        <v>am</v>
      </c>
      <c r="AE83" s="48" t="str">
        <f>IF(AE82="","",IFERROR(VLOOKUP(AC81,DATA!$A$5:$H$9,3,TRUE),0))</f>
        <v>am</v>
      </c>
      <c r="AF83" s="48" t="str">
        <f>IF(AF82="","",IFERROR(VLOOKUP(AC81,DATA!$A$5:$H$9,4,TRUE),0))</f>
        <v>am</v>
      </c>
      <c r="AG83" s="48" t="str">
        <f>IF(AG82="","",IFERROR(VLOOKUP(AC81,DATA!$A$5:$H$9,5,TRUE),0))</f>
        <v>am</v>
      </c>
      <c r="AH83" s="48" t="str">
        <f>IF(AH82="","",IFERROR(VLOOKUP(AC81,DATA!$A$5:$H$9,6,TRUE),0))</f>
        <v>am</v>
      </c>
      <c r="AI83" s="48">
        <f>IF(AI82="","",IFERROR(VLOOKUP(AC81,DATA!$A$5:$H$9,7,TRUE),0))</f>
        <v>0</v>
      </c>
      <c r="AJ83" s="48">
        <f>IF(AJ82="","",IFERROR(VLOOKUP(AC81,DATA!$A$5:$H$9,8,TRUE),0))</f>
        <v>0</v>
      </c>
      <c r="AK83" s="51">
        <f>IF(AC81="c1",24,IF((AC81="c3"),24,40))</f>
        <v>40</v>
      </c>
      <c r="AL83" s="47"/>
      <c r="AM83" s="48" t="str">
        <f>IF(AM82="","",IFERROR(VLOOKUP(AL81,DATA!$A$5:$H$9,2,TRUE),0))</f>
        <v>matin</v>
      </c>
      <c r="AN83" s="48" t="str">
        <f>IF(AN82="","",IFERROR(VLOOKUP(AL81,DATA!$A$5:$H$9,3,TRUE),0))</f>
        <v>matin</v>
      </c>
      <c r="AO83" s="48" t="str">
        <f>IF(AO82="","",IFERROR(VLOOKUP(AL81,DATA!$A$5:$H$9,4,TRUE),0))</f>
        <v>matin</v>
      </c>
      <c r="AP83" s="48">
        <f>IF(AP82="","",IFERROR(VLOOKUP(AL81,DATA!$A$5:$H$9,5,TRUE),0))</f>
        <v>0</v>
      </c>
      <c r="AQ83" s="48" t="str">
        <f>IF(AQ82="","",IFERROR(VLOOKUP(AL81,DATA!$A$5:$H$9,6,TRUE),0))</f>
        <v/>
      </c>
      <c r="AR83" s="48" t="str">
        <f>IF(AR82="","",IFERROR(VLOOKUP(AL81,DATA!$A$5:$H$9,7,TRUE),0))</f>
        <v/>
      </c>
      <c r="AS83" s="48" t="str">
        <f>IF(AS82="","",IFERROR(VLOOKUP(AL81,DATA!$A$5:$H$9,8,TRUE),0))</f>
        <v/>
      </c>
      <c r="AT83" s="51">
        <f>IF(AL81="c1",24,IF((AL81="c3"),24,40))</f>
        <v>24</v>
      </c>
      <c r="AU83" s="47"/>
      <c r="AV83" s="48" t="str">
        <f>IF(AV82="","",IFERROR(VLOOKUP(AU81,DATA!$A$5:$H$9,2,TRUE),0))</f>
        <v/>
      </c>
      <c r="AW83" s="48" t="str">
        <f>IF(AW82="","",IFERROR(VLOOKUP(AU81,DATA!$A$5:$H$9,3,TRUE),0))</f>
        <v/>
      </c>
      <c r="AX83" s="51">
        <f>IF(AP81="c1",24,IF((AP81="c3"),24,40))</f>
        <v>40</v>
      </c>
      <c r="AY83" s="49"/>
      <c r="AZ83" s="39"/>
      <c r="BA83" s="39"/>
      <c r="BB83" s="39"/>
      <c r="BC83" s="39"/>
      <c r="BD83" s="39"/>
      <c r="BE83" s="39"/>
      <c r="BF83" s="29"/>
    </row>
    <row r="84" spans="1:59" s="27" customFormat="1" ht="15" customHeight="1">
      <c r="A84" s="50" t="s">
        <v>12</v>
      </c>
      <c r="B84" s="50"/>
      <c r="C84" s="51">
        <f t="shared" ref="C84:I84" si="192">IF(C83="Matin",1,IF(C83="AM",1,0))</f>
        <v>0</v>
      </c>
      <c r="D84" s="51">
        <f t="shared" si="192"/>
        <v>1</v>
      </c>
      <c r="E84" s="51">
        <f t="shared" si="192"/>
        <v>1</v>
      </c>
      <c r="F84" s="51">
        <f t="shared" si="192"/>
        <v>0</v>
      </c>
      <c r="G84" s="51">
        <f t="shared" si="192"/>
        <v>0</v>
      </c>
      <c r="H84" s="51">
        <f t="shared" si="192"/>
        <v>0</v>
      </c>
      <c r="I84" s="51">
        <f t="shared" si="192"/>
        <v>0</v>
      </c>
      <c r="J84" s="51">
        <f>SUM(C84:I84)</f>
        <v>2</v>
      </c>
      <c r="K84" s="50"/>
      <c r="L84" s="51">
        <f t="shared" ref="L84:R84" si="193">IF(L83="Matin",1,IF(L83="AM",1,0))</f>
        <v>0</v>
      </c>
      <c r="M84" s="51">
        <f t="shared" si="193"/>
        <v>0</v>
      </c>
      <c r="N84" s="51">
        <f t="shared" si="193"/>
        <v>0</v>
      </c>
      <c r="O84" s="51">
        <f t="shared" si="193"/>
        <v>0</v>
      </c>
      <c r="P84" s="51">
        <f t="shared" si="193"/>
        <v>0</v>
      </c>
      <c r="Q84" s="51">
        <f t="shared" si="193"/>
        <v>0</v>
      </c>
      <c r="R84" s="51">
        <f t="shared" si="193"/>
        <v>0</v>
      </c>
      <c r="S84" s="51">
        <f>SUM(L84:R84)</f>
        <v>0</v>
      </c>
      <c r="T84" s="50"/>
      <c r="U84" s="51">
        <f t="shared" ref="U84:AA84" si="194">IF(U83="Matin",1,IF(U83="AM",1,0))</f>
        <v>1</v>
      </c>
      <c r="V84" s="51">
        <f t="shared" si="194"/>
        <v>0</v>
      </c>
      <c r="W84" s="51">
        <f t="shared" si="194"/>
        <v>0</v>
      </c>
      <c r="X84" s="51">
        <f t="shared" si="194"/>
        <v>1</v>
      </c>
      <c r="Y84" s="51">
        <f t="shared" si="194"/>
        <v>1</v>
      </c>
      <c r="Z84" s="51">
        <f t="shared" si="194"/>
        <v>0</v>
      </c>
      <c r="AA84" s="51">
        <f t="shared" si="194"/>
        <v>0</v>
      </c>
      <c r="AB84" s="51">
        <f>SUM(U84:AA84)</f>
        <v>3</v>
      </c>
      <c r="AC84" s="50"/>
      <c r="AD84" s="51">
        <f t="shared" ref="AD84:AJ84" si="195">IF(AD83="Matin",1,IF(AD83="AM",1,0))</f>
        <v>1</v>
      </c>
      <c r="AE84" s="51">
        <f t="shared" si="195"/>
        <v>1</v>
      </c>
      <c r="AF84" s="51">
        <f t="shared" si="195"/>
        <v>1</v>
      </c>
      <c r="AG84" s="51">
        <f t="shared" si="195"/>
        <v>1</v>
      </c>
      <c r="AH84" s="51">
        <f t="shared" si="195"/>
        <v>1</v>
      </c>
      <c r="AI84" s="51">
        <f t="shared" si="195"/>
        <v>0</v>
      </c>
      <c r="AJ84" s="51">
        <f t="shared" si="195"/>
        <v>0</v>
      </c>
      <c r="AK84" s="51">
        <f>SUM(AD84:AJ84)</f>
        <v>5</v>
      </c>
      <c r="AL84" s="50"/>
      <c r="AM84" s="51">
        <f t="shared" ref="AM84:AS84" si="196">IF(AM83="Matin",1,IF(AM83="AM",1,0))</f>
        <v>1</v>
      </c>
      <c r="AN84" s="51">
        <f t="shared" si="196"/>
        <v>1</v>
      </c>
      <c r="AO84" s="51">
        <f t="shared" si="196"/>
        <v>1</v>
      </c>
      <c r="AP84" s="51">
        <f t="shared" si="196"/>
        <v>0</v>
      </c>
      <c r="AQ84" s="51">
        <f t="shared" si="196"/>
        <v>0</v>
      </c>
      <c r="AR84" s="51">
        <f t="shared" si="196"/>
        <v>0</v>
      </c>
      <c r="AS84" s="51">
        <f t="shared" si="196"/>
        <v>0</v>
      </c>
      <c r="AT84" s="51">
        <f>SUM(AM84:AS84)</f>
        <v>3</v>
      </c>
      <c r="AU84" s="50"/>
      <c r="AV84" s="51">
        <f t="shared" ref="AV84:AW84" si="197">IF(AV83="Matin",1,IF(AV83="AM",1,0))</f>
        <v>0</v>
      </c>
      <c r="AW84" s="51">
        <f t="shared" si="197"/>
        <v>0</v>
      </c>
      <c r="AX84" s="51">
        <f>SUM(AV84:AW84)</f>
        <v>0</v>
      </c>
      <c r="AY84" s="51">
        <f>J84+S84+AB84+AK84+AT84+AX84</f>
        <v>13</v>
      </c>
      <c r="AZ84" s="25"/>
      <c r="BA84" s="25"/>
      <c r="BB84" s="25"/>
      <c r="BC84" s="25"/>
      <c r="BD84" s="25"/>
      <c r="BE84" s="25"/>
      <c r="BF84" s="25"/>
      <c r="BG84" s="28"/>
    </row>
    <row r="85" spans="1:59" s="27" customFormat="1" ht="15" customHeight="1">
      <c r="A85" s="47" t="s">
        <v>4</v>
      </c>
      <c r="B85" s="47"/>
      <c r="C85" s="48">
        <f>IF(C86&gt;=1,1,0)</f>
        <v>0</v>
      </c>
      <c r="D85" s="48">
        <f>IF(D86&gt;=1,1,0)</f>
        <v>1</v>
      </c>
      <c r="E85" s="48">
        <f t="shared" ref="E85:I85" si="198">IF(E86&gt;=1,1,0)</f>
        <v>1</v>
      </c>
      <c r="F85" s="48">
        <f t="shared" si="198"/>
        <v>0</v>
      </c>
      <c r="G85" s="48">
        <f t="shared" si="198"/>
        <v>0</v>
      </c>
      <c r="H85" s="48">
        <f t="shared" si="198"/>
        <v>0</v>
      </c>
      <c r="I85" s="48">
        <f t="shared" si="198"/>
        <v>0</v>
      </c>
      <c r="J85" s="51">
        <f t="shared" ref="J85:J90" si="199">SUM(C85:I85)</f>
        <v>2</v>
      </c>
      <c r="K85" s="47"/>
      <c r="L85" s="48">
        <f>IF(L86&gt;=1,1,0)</f>
        <v>1</v>
      </c>
      <c r="M85" s="48">
        <f t="shared" ref="M85:R85" si="200">IF(M86&gt;=1,1,0)</f>
        <v>1</v>
      </c>
      <c r="N85" s="48">
        <f t="shared" si="200"/>
        <v>1</v>
      </c>
      <c r="O85" s="48">
        <f t="shared" si="200"/>
        <v>1</v>
      </c>
      <c r="P85" s="48">
        <f t="shared" si="200"/>
        <v>1</v>
      </c>
      <c r="Q85" s="48">
        <f t="shared" si="200"/>
        <v>0</v>
      </c>
      <c r="R85" s="48">
        <f t="shared" si="200"/>
        <v>0</v>
      </c>
      <c r="S85" s="51">
        <f t="shared" ref="S85:S90" si="201">SUM(L85:R85)</f>
        <v>5</v>
      </c>
      <c r="T85" s="47"/>
      <c r="U85" s="48">
        <f>IF(U86&gt;=1,1,0)</f>
        <v>1</v>
      </c>
      <c r="V85" s="48">
        <f t="shared" ref="V85:AA85" si="202">IF(V86&gt;=1,1,0)</f>
        <v>0</v>
      </c>
      <c r="W85" s="48">
        <f t="shared" si="202"/>
        <v>0</v>
      </c>
      <c r="X85" s="48">
        <f t="shared" si="202"/>
        <v>1</v>
      </c>
      <c r="Y85" s="48">
        <f t="shared" si="202"/>
        <v>1</v>
      </c>
      <c r="Z85" s="48">
        <f t="shared" si="202"/>
        <v>0</v>
      </c>
      <c r="AA85" s="48">
        <f t="shared" si="202"/>
        <v>0</v>
      </c>
      <c r="AB85" s="51">
        <f t="shared" ref="AB85:AB90" si="203">SUM(U85:AA85)</f>
        <v>3</v>
      </c>
      <c r="AC85" s="47"/>
      <c r="AD85" s="48">
        <f>IF(AD86&gt;=1,1,0)</f>
        <v>1</v>
      </c>
      <c r="AE85" s="48">
        <f t="shared" ref="AE85:AJ85" si="204">IF(AE86&gt;=1,1,0)</f>
        <v>1</v>
      </c>
      <c r="AF85" s="48">
        <f t="shared" si="204"/>
        <v>1</v>
      </c>
      <c r="AG85" s="48">
        <f t="shared" si="204"/>
        <v>1</v>
      </c>
      <c r="AH85" s="48">
        <f t="shared" si="204"/>
        <v>1</v>
      </c>
      <c r="AI85" s="48">
        <f t="shared" si="204"/>
        <v>0</v>
      </c>
      <c r="AJ85" s="48">
        <f t="shared" si="204"/>
        <v>0</v>
      </c>
      <c r="AK85" s="51">
        <f t="shared" ref="AK85:AK90" si="205">SUM(AD85:AJ85)</f>
        <v>5</v>
      </c>
      <c r="AL85" s="47"/>
      <c r="AM85" s="48">
        <f>IF(AM86&gt;=1,1,0)</f>
        <v>1</v>
      </c>
      <c r="AN85" s="48">
        <f t="shared" ref="AN85:AS85" si="206">IF(AN86&gt;=1,1,0)</f>
        <v>1</v>
      </c>
      <c r="AO85" s="48">
        <f t="shared" si="206"/>
        <v>1</v>
      </c>
      <c r="AP85" s="48">
        <f t="shared" si="206"/>
        <v>0</v>
      </c>
      <c r="AQ85" s="48">
        <f t="shared" si="206"/>
        <v>0</v>
      </c>
      <c r="AR85" s="48">
        <f t="shared" si="206"/>
        <v>0</v>
      </c>
      <c r="AS85" s="48">
        <f t="shared" si="206"/>
        <v>0</v>
      </c>
      <c r="AT85" s="51">
        <f t="shared" ref="AT85:AT90" si="207">SUM(AM85:AS85)</f>
        <v>3</v>
      </c>
      <c r="AU85" s="47"/>
      <c r="AV85" s="48">
        <f>IF(AV86&gt;=1,1,0)</f>
        <v>0</v>
      </c>
      <c r="AW85" s="48">
        <f t="shared" ref="AW85" si="208">IF(AW86&gt;=1,1,0)</f>
        <v>0</v>
      </c>
      <c r="AX85" s="51">
        <f>SUM(AV85:AW85)</f>
        <v>0</v>
      </c>
      <c r="AY85" s="48">
        <f t="shared" ref="AY85:AY94" si="209">J85+S85+AB85+AK85+AT85+AX85</f>
        <v>18</v>
      </c>
      <c r="AZ85" s="39"/>
      <c r="BA85" s="39"/>
      <c r="BB85" s="39"/>
      <c r="BC85" s="39"/>
      <c r="BD85" s="39"/>
      <c r="BE85" s="39"/>
      <c r="BF85" s="29"/>
    </row>
    <row r="86" spans="1:59" s="27" customFormat="1" ht="15" customHeight="1">
      <c r="A86" s="50" t="s">
        <v>3</v>
      </c>
      <c r="B86" s="50"/>
      <c r="C86" s="51">
        <f>IF(C83="Matin",8,IF(C83="AM",8,IF(C83="nuit",8,0)))</f>
        <v>0</v>
      </c>
      <c r="D86" s="51">
        <f t="shared" ref="D86:I86" si="210">IF(D83="Matin",8,IF(D83="AM",8,IF(D83="nuit",8,0)))</f>
        <v>8</v>
      </c>
      <c r="E86" s="51">
        <f t="shared" si="210"/>
        <v>8</v>
      </c>
      <c r="F86" s="51">
        <f t="shared" si="210"/>
        <v>0</v>
      </c>
      <c r="G86" s="51">
        <f t="shared" si="210"/>
        <v>0</v>
      </c>
      <c r="H86" s="51">
        <f t="shared" si="210"/>
        <v>0</v>
      </c>
      <c r="I86" s="51">
        <f t="shared" si="210"/>
        <v>0</v>
      </c>
      <c r="J86" s="51">
        <f t="shared" si="199"/>
        <v>16</v>
      </c>
      <c r="K86" s="50"/>
      <c r="L86" s="51">
        <f>IF(L83="Matin",8,IF(L83="AM",8,IF(L83="nuit",8,0)))</f>
        <v>8</v>
      </c>
      <c r="M86" s="51">
        <f t="shared" ref="M86:R86" si="211">IF(M83="Matin",8,IF(M83="AM",8,IF(M83="nuit",8,0)))</f>
        <v>8</v>
      </c>
      <c r="N86" s="51">
        <f t="shared" si="211"/>
        <v>8</v>
      </c>
      <c r="O86" s="51">
        <f t="shared" si="211"/>
        <v>8</v>
      </c>
      <c r="P86" s="51">
        <f t="shared" si="211"/>
        <v>8</v>
      </c>
      <c r="Q86" s="51">
        <f t="shared" si="211"/>
        <v>0</v>
      </c>
      <c r="R86" s="51">
        <f t="shared" si="211"/>
        <v>0</v>
      </c>
      <c r="S86" s="51">
        <f t="shared" si="201"/>
        <v>40</v>
      </c>
      <c r="T86" s="50"/>
      <c r="U86" s="51">
        <f>IF(U83="Matin",8,IF(U83="AM",8,IF(U83="nuit",8,0)))</f>
        <v>8</v>
      </c>
      <c r="V86" s="51">
        <f t="shared" ref="V86:AA86" si="212">IF(V83="Matin",8,IF(V83="AM",8,IF(V83="nuit",8,0)))</f>
        <v>0</v>
      </c>
      <c r="W86" s="51">
        <f t="shared" si="212"/>
        <v>0</v>
      </c>
      <c r="X86" s="51">
        <f t="shared" si="212"/>
        <v>8</v>
      </c>
      <c r="Y86" s="51">
        <f t="shared" si="212"/>
        <v>8</v>
      </c>
      <c r="Z86" s="51">
        <f t="shared" si="212"/>
        <v>0</v>
      </c>
      <c r="AA86" s="51">
        <f t="shared" si="212"/>
        <v>0</v>
      </c>
      <c r="AB86" s="51">
        <f t="shared" si="203"/>
        <v>24</v>
      </c>
      <c r="AC86" s="50"/>
      <c r="AD86" s="51">
        <f>IF(AD83="Matin",8,IF(AD83="AM",8,IF(AD83="nuit",8,0)))</f>
        <v>8</v>
      </c>
      <c r="AE86" s="51">
        <f t="shared" ref="AE86:AJ86" si="213">IF(AE83="Matin",8,IF(AE83="AM",8,IF(AE83="nuit",8,0)))</f>
        <v>8</v>
      </c>
      <c r="AF86" s="51">
        <f t="shared" si="213"/>
        <v>8</v>
      </c>
      <c r="AG86" s="51">
        <f t="shared" si="213"/>
        <v>8</v>
      </c>
      <c r="AH86" s="51">
        <f t="shared" si="213"/>
        <v>8</v>
      </c>
      <c r="AI86" s="51">
        <f t="shared" si="213"/>
        <v>0</v>
      </c>
      <c r="AJ86" s="51">
        <f t="shared" si="213"/>
        <v>0</v>
      </c>
      <c r="AK86" s="51">
        <f t="shared" si="205"/>
        <v>40</v>
      </c>
      <c r="AL86" s="50"/>
      <c r="AM86" s="51">
        <f>IF(AM83="Matin",8,IF(AM83="AM",8,IF(AM83="nuit",8,0)))</f>
        <v>8</v>
      </c>
      <c r="AN86" s="51">
        <f t="shared" ref="AN86:AS86" si="214">IF(AN83="Matin",8,IF(AN83="AM",8,IF(AN83="nuit",8,0)))</f>
        <v>8</v>
      </c>
      <c r="AO86" s="51">
        <f t="shared" si="214"/>
        <v>8</v>
      </c>
      <c r="AP86" s="51">
        <f t="shared" si="214"/>
        <v>0</v>
      </c>
      <c r="AQ86" s="51">
        <f t="shared" si="214"/>
        <v>0</v>
      </c>
      <c r="AR86" s="51">
        <f t="shared" si="214"/>
        <v>0</v>
      </c>
      <c r="AS86" s="51">
        <f t="shared" si="214"/>
        <v>0</v>
      </c>
      <c r="AT86" s="51">
        <f t="shared" si="207"/>
        <v>24</v>
      </c>
      <c r="AU86" s="50"/>
      <c r="AV86" s="51">
        <f>IF(AV83="Matin",8,IF(AV83="AM",8,IF(AV83="nuit",8,0)))</f>
        <v>0</v>
      </c>
      <c r="AW86" s="51">
        <f t="shared" ref="AW86" si="215">IF(AW83="Matin",8,IF(AW83="AM",8,IF(AW83="nuit",8,0)))</f>
        <v>0</v>
      </c>
      <c r="AX86" s="51">
        <f>SUM(AV86:AW86)</f>
        <v>0</v>
      </c>
      <c r="AY86" s="51">
        <f t="shared" si="209"/>
        <v>144</v>
      </c>
      <c r="AZ86" s="25"/>
      <c r="BA86" s="25"/>
      <c r="BB86" s="25"/>
      <c r="BC86" s="25"/>
      <c r="BD86" s="25"/>
      <c r="BE86" s="25"/>
      <c r="BF86" s="25"/>
      <c r="BG86" s="28"/>
    </row>
    <row r="87" spans="1:59" s="5" customFormat="1" ht="15" customHeight="1">
      <c r="A87" s="47" t="s">
        <v>13</v>
      </c>
      <c r="B87" s="47"/>
      <c r="C87" s="48"/>
      <c r="D87" s="48"/>
      <c r="E87" s="48"/>
      <c r="F87" s="48"/>
      <c r="G87" s="48"/>
      <c r="H87" s="48"/>
      <c r="I87" s="48"/>
      <c r="J87" s="51">
        <f>MAX(MIN(DATA!$D$22-DATA!$C$22,Travail!J86-Travail!J83-I86),0)</f>
        <v>0</v>
      </c>
      <c r="K87" s="47"/>
      <c r="L87" s="48"/>
      <c r="M87" s="48"/>
      <c r="N87" s="48"/>
      <c r="O87" s="48"/>
      <c r="P87" s="48"/>
      <c r="Q87" s="48"/>
      <c r="R87" s="48"/>
      <c r="S87" s="51">
        <f>MAX(MIN(DATA!$D$22-DATA!$C$22,Travail!S86-Travail!S83-R86),0)</f>
        <v>0</v>
      </c>
      <c r="T87" s="47"/>
      <c r="U87" s="48"/>
      <c r="V87" s="48"/>
      <c r="W87" s="48"/>
      <c r="X87" s="48"/>
      <c r="Y87" s="48"/>
      <c r="Z87" s="48"/>
      <c r="AA87" s="48"/>
      <c r="AB87" s="51">
        <f>MAX(MIN(DATA!$D$22-DATA!$C$22,Travail!AB86-Travail!AB83-AA86),0)</f>
        <v>0</v>
      </c>
      <c r="AC87" s="47"/>
      <c r="AD87" s="48"/>
      <c r="AE87" s="48"/>
      <c r="AF87" s="48"/>
      <c r="AG87" s="48"/>
      <c r="AH87" s="48"/>
      <c r="AI87" s="48"/>
      <c r="AJ87" s="48"/>
      <c r="AK87" s="51">
        <f>MAX(MIN(DATA!$D$22-DATA!$C$22,Travail!AK86-Travail!AK83-AJ86),0)</f>
        <v>0</v>
      </c>
      <c r="AL87" s="47"/>
      <c r="AM87" s="48"/>
      <c r="AN87" s="48"/>
      <c r="AO87" s="48"/>
      <c r="AP87" s="48"/>
      <c r="AQ87" s="48"/>
      <c r="AR87" s="48"/>
      <c r="AS87" s="48"/>
      <c r="AT87" s="51">
        <f>MAX(MIN(DATA!$D$22-DATA!$C$22,Travail!AT86-Travail!AT83-AS86),0)</f>
        <v>0</v>
      </c>
      <c r="AU87" s="47"/>
      <c r="AV87" s="48"/>
      <c r="AW87" s="48"/>
      <c r="AX87" s="51">
        <f>MAX(MIN(DATA!$D$22-DATA!$C$22,Travail!AX86-Travail!AX83),0)</f>
        <v>0</v>
      </c>
      <c r="AY87" s="49">
        <f t="shared" si="209"/>
        <v>0</v>
      </c>
      <c r="AZ87" s="39"/>
      <c r="BA87" s="39"/>
      <c r="BB87" s="39"/>
      <c r="BC87" s="39"/>
      <c r="BD87" s="39"/>
      <c r="BE87" s="39"/>
      <c r="BF87" s="29"/>
    </row>
    <row r="88" spans="1:59" s="27" customFormat="1" ht="15" customHeight="1">
      <c r="A88" s="50" t="s">
        <v>6</v>
      </c>
      <c r="B88" s="50"/>
      <c r="C88" s="51"/>
      <c r="D88" s="51"/>
      <c r="E88" s="51"/>
      <c r="F88" s="51"/>
      <c r="G88" s="51"/>
      <c r="H88" s="51"/>
      <c r="I88" s="51"/>
      <c r="J88" s="51">
        <f>MAX(MIN(DATA!$E$22-DATA!$D$22,Travail!J86-Travail!J83-Travail!J87-I86),0)</f>
        <v>0</v>
      </c>
      <c r="K88" s="50"/>
      <c r="L88" s="51"/>
      <c r="M88" s="51"/>
      <c r="N88" s="51"/>
      <c r="O88" s="51"/>
      <c r="P88" s="51"/>
      <c r="Q88" s="51"/>
      <c r="R88" s="51"/>
      <c r="S88" s="51">
        <f>MAX(MIN(DATA!$E$22-DATA!$D$22,Travail!S86-Travail!S83-Travail!S87-R86),0)</f>
        <v>0</v>
      </c>
      <c r="T88" s="50"/>
      <c r="U88" s="51"/>
      <c r="V88" s="51"/>
      <c r="W88" s="51"/>
      <c r="X88" s="51"/>
      <c r="Y88" s="51"/>
      <c r="Z88" s="51"/>
      <c r="AA88" s="51"/>
      <c r="AB88" s="51">
        <f>MAX(MIN(DATA!$E$22-DATA!$D$22,Travail!AB86-Travail!AB83-Travail!AB87-AA86),0)</f>
        <v>0</v>
      </c>
      <c r="AC88" s="50"/>
      <c r="AD88" s="51"/>
      <c r="AE88" s="51"/>
      <c r="AF88" s="51"/>
      <c r="AG88" s="51"/>
      <c r="AH88" s="51"/>
      <c r="AI88" s="51"/>
      <c r="AJ88" s="51"/>
      <c r="AK88" s="51">
        <f>MAX(MIN(DATA!$E$22-DATA!$D$22,Travail!AK86-Travail!AK83-Travail!AK87-AJ86),0)</f>
        <v>0</v>
      </c>
      <c r="AL88" s="50"/>
      <c r="AM88" s="51"/>
      <c r="AN88" s="51"/>
      <c r="AO88" s="51"/>
      <c r="AP88" s="51"/>
      <c r="AQ88" s="51"/>
      <c r="AR88" s="51"/>
      <c r="AS88" s="51"/>
      <c r="AT88" s="51">
        <f>MAX(MIN(DATA!$E$22-DATA!$D$22,Travail!AT86-Travail!AT83-Travail!AT87-AS86),0)</f>
        <v>0</v>
      </c>
      <c r="AU88" s="50"/>
      <c r="AV88" s="51"/>
      <c r="AW88" s="51"/>
      <c r="AX88" s="51">
        <f>MAX(MIN(DATA!$E$22-DATA!$D$22,Travail!AX86-Travail!AX83-Travail!AX87),0)</f>
        <v>0</v>
      </c>
      <c r="AY88" s="51">
        <f t="shared" si="209"/>
        <v>0</v>
      </c>
      <c r="AZ88" s="25"/>
      <c r="BA88" s="25"/>
      <c r="BB88" s="25"/>
      <c r="BC88" s="25"/>
      <c r="BD88" s="25"/>
      <c r="BE88" s="25"/>
      <c r="BF88" s="25"/>
      <c r="BG88" s="28"/>
    </row>
    <row r="89" spans="1:59" s="5" customFormat="1" ht="15" customHeight="1">
      <c r="A89" s="47" t="s">
        <v>5</v>
      </c>
      <c r="B89" s="47"/>
      <c r="C89" s="48"/>
      <c r="D89" s="48"/>
      <c r="E89" s="48"/>
      <c r="F89" s="48"/>
      <c r="G89" s="48"/>
      <c r="H89" s="48"/>
      <c r="I89" s="48"/>
      <c r="J89" s="51">
        <f>MAX(J86-J83-J88-J87-J90,0)</f>
        <v>0</v>
      </c>
      <c r="K89" s="47"/>
      <c r="L89" s="48"/>
      <c r="M89" s="48"/>
      <c r="N89" s="48"/>
      <c r="O89" s="48"/>
      <c r="P89" s="48"/>
      <c r="Q89" s="48"/>
      <c r="R89" s="48"/>
      <c r="S89" s="51">
        <f>MAX(S86-S83-S88-S87-S90,0)</f>
        <v>0</v>
      </c>
      <c r="T89" s="47"/>
      <c r="U89" s="48"/>
      <c r="V89" s="48"/>
      <c r="W89" s="48"/>
      <c r="X89" s="48"/>
      <c r="Y89" s="48"/>
      <c r="Z89" s="48"/>
      <c r="AA89" s="48"/>
      <c r="AB89" s="51">
        <f>MAX(AB86-AB83-AB88-AB87-AB90,0)</f>
        <v>0</v>
      </c>
      <c r="AC89" s="47"/>
      <c r="AD89" s="48"/>
      <c r="AE89" s="48"/>
      <c r="AF89" s="48"/>
      <c r="AG89" s="48"/>
      <c r="AH89" s="48"/>
      <c r="AI89" s="48"/>
      <c r="AJ89" s="48"/>
      <c r="AK89" s="51">
        <f>MAX(AK86-AK83-AK88-AK87-AK90,0)</f>
        <v>0</v>
      </c>
      <c r="AL89" s="47"/>
      <c r="AM89" s="48"/>
      <c r="AN89" s="48"/>
      <c r="AO89" s="48"/>
      <c r="AP89" s="48"/>
      <c r="AQ89" s="48"/>
      <c r="AR89" s="48"/>
      <c r="AS89" s="48"/>
      <c r="AT89" s="51">
        <f>MAX(AT86-AT83-AT88-AT87-AT90,0)</f>
        <v>0</v>
      </c>
      <c r="AU89" s="47"/>
      <c r="AV89" s="48"/>
      <c r="AW89" s="48"/>
      <c r="AX89" s="97">
        <f>MAX(AX86-AX83-AX88-AX87,0)</f>
        <v>0</v>
      </c>
      <c r="AY89" s="49">
        <f t="shared" si="209"/>
        <v>0</v>
      </c>
      <c r="AZ89" s="39"/>
      <c r="BA89" s="39"/>
      <c r="BB89" s="39"/>
      <c r="BC89" s="39"/>
      <c r="BD89" s="39"/>
      <c r="BE89" s="39"/>
      <c r="BF89" s="29"/>
    </row>
    <row r="90" spans="1:59" s="27" customFormat="1" ht="15" customHeight="1">
      <c r="A90" s="50" t="s">
        <v>7</v>
      </c>
      <c r="B90" s="50"/>
      <c r="C90" s="51">
        <f>IF(C81="Dim",C86,IF(C96="ferie",C86,0))</f>
        <v>0</v>
      </c>
      <c r="D90" s="51">
        <f t="shared" ref="D90:I90" si="216">IF(D81="Dim",D86,IF(D96="ferie",D86,0))</f>
        <v>0</v>
      </c>
      <c r="E90" s="51">
        <f t="shared" si="216"/>
        <v>0</v>
      </c>
      <c r="F90" s="51">
        <f t="shared" si="216"/>
        <v>0</v>
      </c>
      <c r="G90" s="51">
        <f t="shared" si="216"/>
        <v>0</v>
      </c>
      <c r="H90" s="51">
        <f t="shared" si="216"/>
        <v>0</v>
      </c>
      <c r="I90" s="51">
        <f t="shared" si="216"/>
        <v>0</v>
      </c>
      <c r="J90" s="51">
        <f t="shared" si="199"/>
        <v>0</v>
      </c>
      <c r="K90" s="50"/>
      <c r="L90" s="51">
        <f>IF(L81="Dim",L86,IF(L96="ferie",L86,0))</f>
        <v>0</v>
      </c>
      <c r="M90" s="51">
        <f t="shared" ref="M90:R90" si="217">IF(M81="Dim",M86,IF(M96="ferie",M86,0))</f>
        <v>0</v>
      </c>
      <c r="N90" s="51">
        <f t="shared" si="217"/>
        <v>0</v>
      </c>
      <c r="O90" s="51">
        <f t="shared" si="217"/>
        <v>0</v>
      </c>
      <c r="P90" s="51">
        <f t="shared" si="217"/>
        <v>0</v>
      </c>
      <c r="Q90" s="51">
        <f>IF(Q81="Dim",Q86,IF(Q96="ferie",Q86,0))</f>
        <v>0</v>
      </c>
      <c r="R90" s="51">
        <f t="shared" si="217"/>
        <v>0</v>
      </c>
      <c r="S90" s="51">
        <f t="shared" si="201"/>
        <v>0</v>
      </c>
      <c r="T90" s="50"/>
      <c r="U90" s="51">
        <f>IF(U81="Dim",U86,IF(U96="ferie",U86,0))</f>
        <v>0</v>
      </c>
      <c r="V90" s="51">
        <f t="shared" ref="V90:AA90" si="218">IF(V81="Dim",V86,IF(V96="ferie",V86,0))</f>
        <v>0</v>
      </c>
      <c r="W90" s="51">
        <f t="shared" si="218"/>
        <v>0</v>
      </c>
      <c r="X90" s="51">
        <f t="shared" si="218"/>
        <v>0</v>
      </c>
      <c r="Y90" s="51">
        <f t="shared" si="218"/>
        <v>0</v>
      </c>
      <c r="Z90" s="51">
        <f t="shared" si="218"/>
        <v>0</v>
      </c>
      <c r="AA90" s="51">
        <f t="shared" si="218"/>
        <v>0</v>
      </c>
      <c r="AB90" s="51">
        <f t="shared" si="203"/>
        <v>0</v>
      </c>
      <c r="AC90" s="50"/>
      <c r="AD90" s="51">
        <f>IF(AD81="Dim",AD86,IF(AD96="ferie",AD86,0))</f>
        <v>0</v>
      </c>
      <c r="AE90" s="51">
        <f t="shared" ref="AE90:AJ90" si="219">IF(AE81="Dim",AE86,IF(AE96="ferie",AE86,0))</f>
        <v>0</v>
      </c>
      <c r="AF90" s="51">
        <f t="shared" si="219"/>
        <v>0</v>
      </c>
      <c r="AG90" s="51">
        <f t="shared" si="219"/>
        <v>0</v>
      </c>
      <c r="AH90" s="51">
        <f t="shared" si="219"/>
        <v>0</v>
      </c>
      <c r="AI90" s="51">
        <f t="shared" si="219"/>
        <v>0</v>
      </c>
      <c r="AJ90" s="51">
        <f t="shared" si="219"/>
        <v>0</v>
      </c>
      <c r="AK90" s="51">
        <f t="shared" si="205"/>
        <v>0</v>
      </c>
      <c r="AL90" s="50"/>
      <c r="AM90" s="51">
        <f>IF(AM81="Dim",AM86,IF(AM96="ferie",AM86,0))</f>
        <v>0</v>
      </c>
      <c r="AN90" s="51">
        <f t="shared" ref="AN90:AW90" si="220">IF(AN81="Dim",AN86,IF(AN96="ferie",AN86,0))</f>
        <v>0</v>
      </c>
      <c r="AO90" s="51">
        <f t="shared" si="220"/>
        <v>0</v>
      </c>
      <c r="AP90" s="51">
        <f t="shared" si="220"/>
        <v>0</v>
      </c>
      <c r="AQ90" s="51">
        <f t="shared" si="220"/>
        <v>0</v>
      </c>
      <c r="AR90" s="51">
        <f t="shared" si="220"/>
        <v>0</v>
      </c>
      <c r="AS90" s="51">
        <f t="shared" si="220"/>
        <v>0</v>
      </c>
      <c r="AT90" s="51">
        <f t="shared" si="207"/>
        <v>0</v>
      </c>
      <c r="AU90" s="50"/>
      <c r="AV90" s="51">
        <f>IF(AV81="Dim",AV86,IF(AV96="ferie",AV86,0))</f>
        <v>0</v>
      </c>
      <c r="AW90" s="51">
        <f t="shared" si="220"/>
        <v>0</v>
      </c>
      <c r="AX90" s="51">
        <f t="shared" ref="AX90:AX95" si="221">SUM(AV90:AW90)</f>
        <v>0</v>
      </c>
      <c r="AY90" s="51">
        <f t="shared" si="209"/>
        <v>0</v>
      </c>
      <c r="AZ90" s="25"/>
      <c r="BA90" s="25"/>
      <c r="BB90" s="25"/>
      <c r="BC90" s="25"/>
      <c r="BD90" s="25"/>
      <c r="BE90" s="25"/>
      <c r="BF90" s="25"/>
      <c r="BG90" s="28"/>
    </row>
    <row r="91" spans="1:59" s="27" customFormat="1" ht="15" customHeight="1">
      <c r="A91" s="47" t="s">
        <v>8</v>
      </c>
      <c r="B91" s="47"/>
      <c r="C91" s="48"/>
      <c r="D91" s="48"/>
      <c r="E91" s="48"/>
      <c r="F91" s="48"/>
      <c r="G91" s="48"/>
      <c r="H91" s="48"/>
      <c r="I91" s="48"/>
      <c r="J91" s="51">
        <f t="shared" ref="J91:J95" si="222">SUM(C91:I91)</f>
        <v>0</v>
      </c>
      <c r="K91" s="47"/>
      <c r="L91" s="48"/>
      <c r="M91" s="48"/>
      <c r="N91" s="48"/>
      <c r="O91" s="48"/>
      <c r="P91" s="48"/>
      <c r="Q91" s="48"/>
      <c r="R91" s="48"/>
      <c r="S91" s="51">
        <f t="shared" ref="S91:S95" si="223">SUM(L91:R91)</f>
        <v>0</v>
      </c>
      <c r="T91" s="47"/>
      <c r="U91" s="48"/>
      <c r="V91" s="48"/>
      <c r="W91" s="48"/>
      <c r="X91" s="48"/>
      <c r="Y91" s="48"/>
      <c r="Z91" s="48"/>
      <c r="AA91" s="48"/>
      <c r="AB91" s="51">
        <f t="shared" ref="AB91:AB95" si="224">SUM(U91:AA91)</f>
        <v>0</v>
      </c>
      <c r="AC91" s="47"/>
      <c r="AD91" s="48"/>
      <c r="AE91" s="48"/>
      <c r="AF91" s="48"/>
      <c r="AG91" s="48"/>
      <c r="AH91" s="48"/>
      <c r="AI91" s="48"/>
      <c r="AJ91" s="48"/>
      <c r="AK91" s="51">
        <f t="shared" ref="AK91:AK95" si="225">SUM(AD91:AJ91)</f>
        <v>0</v>
      </c>
      <c r="AL91" s="47"/>
      <c r="AM91" s="48"/>
      <c r="AN91" s="48"/>
      <c r="AO91" s="48"/>
      <c r="AP91" s="48"/>
      <c r="AQ91" s="48"/>
      <c r="AR91" s="48"/>
      <c r="AS91" s="48"/>
      <c r="AT91" s="51">
        <f t="shared" ref="AT91:AT95" si="226">SUM(AM91:AS91)</f>
        <v>0</v>
      </c>
      <c r="AU91" s="47"/>
      <c r="AV91" s="48"/>
      <c r="AW91" s="48"/>
      <c r="AX91" s="51">
        <f>SUM(AV91:AW91)</f>
        <v>0</v>
      </c>
      <c r="AY91" s="48">
        <f t="shared" si="209"/>
        <v>0</v>
      </c>
      <c r="AZ91" s="39"/>
      <c r="BA91" s="39"/>
      <c r="BB91" s="39"/>
      <c r="BC91" s="39"/>
      <c r="BD91" s="39"/>
      <c r="BE91" s="39"/>
      <c r="BF91" s="29"/>
    </row>
    <row r="92" spans="1:59" s="27" customFormat="1" ht="15" customHeight="1">
      <c r="A92" s="50" t="s">
        <v>9</v>
      </c>
      <c r="B92" s="50"/>
      <c r="C92" s="51"/>
      <c r="D92" s="51"/>
      <c r="E92" s="51"/>
      <c r="F92" s="51"/>
      <c r="G92" s="51"/>
      <c r="H92" s="51"/>
      <c r="I92" s="51"/>
      <c r="J92" s="51">
        <f t="shared" si="222"/>
        <v>0</v>
      </c>
      <c r="K92" s="50"/>
      <c r="L92" s="51"/>
      <c r="M92" s="51"/>
      <c r="N92" s="51"/>
      <c r="O92" s="51"/>
      <c r="P92" s="51"/>
      <c r="Q92" s="51"/>
      <c r="R92" s="51"/>
      <c r="S92" s="51">
        <f t="shared" si="223"/>
        <v>0</v>
      </c>
      <c r="T92" s="50"/>
      <c r="U92" s="51"/>
      <c r="V92" s="51"/>
      <c r="W92" s="51"/>
      <c r="X92" s="51"/>
      <c r="Y92" s="51"/>
      <c r="Z92" s="51"/>
      <c r="AA92" s="51"/>
      <c r="AB92" s="51">
        <f t="shared" si="224"/>
        <v>0</v>
      </c>
      <c r="AC92" s="50"/>
      <c r="AD92" s="51"/>
      <c r="AE92" s="51"/>
      <c r="AF92" s="51"/>
      <c r="AG92" s="51"/>
      <c r="AH92" s="51"/>
      <c r="AI92" s="51"/>
      <c r="AJ92" s="51"/>
      <c r="AK92" s="51">
        <f t="shared" si="225"/>
        <v>0</v>
      </c>
      <c r="AL92" s="50"/>
      <c r="AM92" s="51"/>
      <c r="AN92" s="51"/>
      <c r="AO92" s="51"/>
      <c r="AP92" s="51"/>
      <c r="AQ92" s="51"/>
      <c r="AR92" s="51"/>
      <c r="AS92" s="51"/>
      <c r="AT92" s="51">
        <f t="shared" si="226"/>
        <v>0</v>
      </c>
      <c r="AU92" s="50"/>
      <c r="AV92" s="51"/>
      <c r="AW92" s="51"/>
      <c r="AX92" s="51">
        <f t="shared" si="221"/>
        <v>0</v>
      </c>
      <c r="AY92" s="51">
        <f t="shared" si="209"/>
        <v>0</v>
      </c>
      <c r="AZ92" s="25"/>
      <c r="BA92" s="25"/>
      <c r="BB92" s="25"/>
      <c r="BC92" s="25"/>
      <c r="BD92" s="25"/>
      <c r="BE92" s="25"/>
      <c r="BF92" s="25"/>
      <c r="BG92" s="28"/>
    </row>
    <row r="93" spans="1:59" s="5" customFormat="1" ht="15" customHeight="1">
      <c r="A93" s="47" t="s">
        <v>11</v>
      </c>
      <c r="B93" s="47"/>
      <c r="C93" s="48"/>
      <c r="D93" s="48"/>
      <c r="E93" s="48"/>
      <c r="F93" s="48"/>
      <c r="G93" s="48"/>
      <c r="H93" s="48"/>
      <c r="I93" s="48"/>
      <c r="J93" s="51">
        <f t="shared" si="222"/>
        <v>0</v>
      </c>
      <c r="K93" s="47"/>
      <c r="L93" s="48"/>
      <c r="M93" s="48"/>
      <c r="N93" s="48"/>
      <c r="O93" s="48"/>
      <c r="P93" s="48"/>
      <c r="Q93" s="48"/>
      <c r="R93" s="48"/>
      <c r="S93" s="51">
        <f t="shared" si="223"/>
        <v>0</v>
      </c>
      <c r="T93" s="47"/>
      <c r="U93" s="48"/>
      <c r="V93" s="48"/>
      <c r="W93" s="48"/>
      <c r="X93" s="48"/>
      <c r="Y93" s="48"/>
      <c r="Z93" s="48"/>
      <c r="AA93" s="48"/>
      <c r="AB93" s="51">
        <f t="shared" si="224"/>
        <v>0</v>
      </c>
      <c r="AC93" s="47"/>
      <c r="AD93" s="48"/>
      <c r="AE93" s="48"/>
      <c r="AF93" s="48"/>
      <c r="AG93" s="48"/>
      <c r="AH93" s="48"/>
      <c r="AI93" s="48"/>
      <c r="AJ93" s="48"/>
      <c r="AK93" s="51">
        <f t="shared" si="225"/>
        <v>0</v>
      </c>
      <c r="AL93" s="47"/>
      <c r="AM93" s="48"/>
      <c r="AN93" s="48"/>
      <c r="AO93" s="48"/>
      <c r="AP93" s="48"/>
      <c r="AQ93" s="48"/>
      <c r="AR93" s="48"/>
      <c r="AS93" s="48"/>
      <c r="AT93" s="51">
        <f t="shared" si="226"/>
        <v>0</v>
      </c>
      <c r="AU93" s="47"/>
      <c r="AV93" s="48"/>
      <c r="AW93" s="48"/>
      <c r="AX93" s="51">
        <f t="shared" si="221"/>
        <v>0</v>
      </c>
      <c r="AY93" s="49">
        <f t="shared" si="209"/>
        <v>0</v>
      </c>
      <c r="AZ93" s="39"/>
      <c r="BA93" s="39"/>
      <c r="BB93" s="39"/>
      <c r="BC93" s="39"/>
      <c r="BD93" s="39"/>
      <c r="BE93" s="39"/>
      <c r="BF93" s="29"/>
    </row>
    <row r="94" spans="1:59" s="27" customFormat="1" ht="15" customHeight="1">
      <c r="A94" s="50" t="s">
        <v>10</v>
      </c>
      <c r="B94" s="50"/>
      <c r="C94" s="51"/>
      <c r="D94" s="51"/>
      <c r="E94" s="51"/>
      <c r="F94" s="51"/>
      <c r="G94" s="51"/>
      <c r="H94" s="51"/>
      <c r="I94" s="51"/>
      <c r="J94" s="51">
        <f t="shared" si="222"/>
        <v>0</v>
      </c>
      <c r="K94" s="50"/>
      <c r="L94" s="51"/>
      <c r="M94" s="51"/>
      <c r="N94" s="51"/>
      <c r="O94" s="51"/>
      <c r="P94" s="51"/>
      <c r="Q94" s="51"/>
      <c r="R94" s="51"/>
      <c r="S94" s="51">
        <f t="shared" si="223"/>
        <v>0</v>
      </c>
      <c r="T94" s="50"/>
      <c r="U94" s="51"/>
      <c r="V94" s="51"/>
      <c r="W94" s="51"/>
      <c r="X94" s="51"/>
      <c r="Y94" s="51"/>
      <c r="Z94" s="51"/>
      <c r="AA94" s="51"/>
      <c r="AB94" s="51">
        <f t="shared" si="224"/>
        <v>0</v>
      </c>
      <c r="AC94" s="50"/>
      <c r="AD94" s="51"/>
      <c r="AE94" s="51"/>
      <c r="AF94" s="51"/>
      <c r="AG94" s="51"/>
      <c r="AH94" s="51"/>
      <c r="AI94" s="51"/>
      <c r="AJ94" s="51"/>
      <c r="AK94" s="51">
        <f t="shared" si="225"/>
        <v>0</v>
      </c>
      <c r="AL94" s="50"/>
      <c r="AM94" s="51"/>
      <c r="AN94" s="51"/>
      <c r="AO94" s="51"/>
      <c r="AP94" s="51"/>
      <c r="AQ94" s="51"/>
      <c r="AR94" s="51"/>
      <c r="AS94" s="51"/>
      <c r="AT94" s="51">
        <f t="shared" si="226"/>
        <v>0</v>
      </c>
      <c r="AU94" s="50"/>
      <c r="AV94" s="51"/>
      <c r="AW94" s="51"/>
      <c r="AX94" s="51">
        <f t="shared" si="221"/>
        <v>0</v>
      </c>
      <c r="AY94" s="51">
        <f t="shared" si="209"/>
        <v>0</v>
      </c>
      <c r="AZ94" s="25"/>
      <c r="BA94" s="25"/>
      <c r="BB94" s="25"/>
      <c r="BC94" s="25"/>
      <c r="BD94" s="25"/>
      <c r="BE94" s="25"/>
      <c r="BF94" s="25"/>
      <c r="BG94" s="28"/>
    </row>
    <row r="95" spans="1:59" s="5" customFormat="1" ht="15" customHeight="1">
      <c r="A95" s="47" t="s">
        <v>37</v>
      </c>
      <c r="B95" s="47"/>
      <c r="C95" s="48">
        <f>IF(C83="nuit",C86*0.02,0)</f>
        <v>0</v>
      </c>
      <c r="D95" s="48">
        <f>IF(D83="nuit",D86*0.02,0)</f>
        <v>0</v>
      </c>
      <c r="E95" s="48">
        <f t="shared" ref="E95:I95" si="227">IF(E83="nuit",E86*0.02,0)</f>
        <v>0</v>
      </c>
      <c r="F95" s="48">
        <f t="shared" si="227"/>
        <v>0</v>
      </c>
      <c r="G95" s="48">
        <f>IF(G83="nuit",G86*0.02,0)</f>
        <v>0</v>
      </c>
      <c r="H95" s="48">
        <f t="shared" si="227"/>
        <v>0</v>
      </c>
      <c r="I95" s="48">
        <f t="shared" si="227"/>
        <v>0</v>
      </c>
      <c r="J95" s="51">
        <f t="shared" si="222"/>
        <v>0</v>
      </c>
      <c r="K95" s="47"/>
      <c r="L95" s="48">
        <f>IF(L83="nuit",L86*0.02,0)</f>
        <v>0.16</v>
      </c>
      <c r="M95" s="48">
        <f>IF(M83="nuit",M86*0.02,0)</f>
        <v>0.16</v>
      </c>
      <c r="N95" s="48">
        <f t="shared" ref="N95:R95" si="228">IF(N83="nuit",N86*0.02,0)</f>
        <v>0.16</v>
      </c>
      <c r="O95" s="48">
        <f t="shared" si="228"/>
        <v>0.16</v>
      </c>
      <c r="P95" s="48">
        <f>IF(P83="nuit",P86*0.02,0)</f>
        <v>0.16</v>
      </c>
      <c r="Q95" s="48">
        <f t="shared" si="228"/>
        <v>0</v>
      </c>
      <c r="R95" s="48">
        <f t="shared" si="228"/>
        <v>0</v>
      </c>
      <c r="S95" s="51">
        <f t="shared" si="223"/>
        <v>0.8</v>
      </c>
      <c r="T95" s="47"/>
      <c r="U95" s="48">
        <f>IF(U83="nuit",U86*0.02,0)</f>
        <v>0</v>
      </c>
      <c r="V95" s="48">
        <f>IF(V83="nuit",V86*0.02,0)</f>
        <v>0</v>
      </c>
      <c r="W95" s="48">
        <f t="shared" ref="W95:AA95" si="229">IF(W83="nuit",W86*0.02,0)</f>
        <v>0</v>
      </c>
      <c r="X95" s="48">
        <f t="shared" si="229"/>
        <v>0</v>
      </c>
      <c r="Y95" s="48">
        <f>IF(Y83="nuit",Y86*0.02,0)</f>
        <v>0</v>
      </c>
      <c r="Z95" s="48">
        <f t="shared" si="229"/>
        <v>0</v>
      </c>
      <c r="AA95" s="48">
        <f t="shared" si="229"/>
        <v>0</v>
      </c>
      <c r="AB95" s="51">
        <f t="shared" si="224"/>
        <v>0</v>
      </c>
      <c r="AC95" s="47"/>
      <c r="AD95" s="48">
        <f>IF(AD83="nuit",AD86*0.02,0)</f>
        <v>0</v>
      </c>
      <c r="AE95" s="48">
        <f>IF(AE83="nuit",AE86*0.02,0)</f>
        <v>0</v>
      </c>
      <c r="AF95" s="48">
        <f t="shared" ref="AF95:AJ95" si="230">IF(AF83="nuit",AF86*0.02,0)</f>
        <v>0</v>
      </c>
      <c r="AG95" s="48">
        <f t="shared" si="230"/>
        <v>0</v>
      </c>
      <c r="AH95" s="48">
        <f>IF(AH83="nuit",AH86*0.02,0)</f>
        <v>0</v>
      </c>
      <c r="AI95" s="48">
        <f t="shared" si="230"/>
        <v>0</v>
      </c>
      <c r="AJ95" s="48">
        <f t="shared" si="230"/>
        <v>0</v>
      </c>
      <c r="AK95" s="51">
        <f t="shared" si="225"/>
        <v>0</v>
      </c>
      <c r="AL95" s="47"/>
      <c r="AM95" s="48">
        <f>IF(AM83="nuit",AM86*0.02,0)</f>
        <v>0</v>
      </c>
      <c r="AN95" s="48">
        <f>IF(AN83="nuit",AN86*0.02,0)</f>
        <v>0</v>
      </c>
      <c r="AO95" s="48">
        <f t="shared" ref="AO95:AS95" si="231">IF(AO83="nuit",AO86*0.02,0)</f>
        <v>0</v>
      </c>
      <c r="AP95" s="48">
        <f t="shared" si="231"/>
        <v>0</v>
      </c>
      <c r="AQ95" s="48">
        <f>IF(AQ83="nuit",AQ86*0.02,0)</f>
        <v>0</v>
      </c>
      <c r="AR95" s="48">
        <f t="shared" si="231"/>
        <v>0</v>
      </c>
      <c r="AS95" s="48">
        <f t="shared" si="231"/>
        <v>0</v>
      </c>
      <c r="AT95" s="51">
        <f t="shared" si="226"/>
        <v>0</v>
      </c>
      <c r="AU95" s="47"/>
      <c r="AV95" s="48">
        <f>IF(AV83="nuit",AV86*0.02,0)</f>
        <v>0</v>
      </c>
      <c r="AW95" s="48">
        <f>IF(AW83="nuit",AW86*0.02,0)</f>
        <v>0</v>
      </c>
      <c r="AX95" s="51">
        <f t="shared" si="221"/>
        <v>0</v>
      </c>
      <c r="AY95" s="49">
        <f>J95+S95+AB95+AK95+AT95+AX95</f>
        <v>0.8</v>
      </c>
      <c r="AZ95" s="39"/>
      <c r="BA95" s="39"/>
      <c r="BB95" s="39"/>
      <c r="BC95" s="39"/>
      <c r="BD95" s="39"/>
      <c r="BE95" s="39"/>
      <c r="BF95" s="29"/>
    </row>
    <row r="96" spans="1:59" s="27" customFormat="1" ht="15" customHeight="1">
      <c r="A96" s="50" t="s">
        <v>24</v>
      </c>
      <c r="B96" s="50"/>
      <c r="C96" s="51"/>
      <c r="D96" s="51"/>
      <c r="E96" s="51"/>
      <c r="F96" s="51"/>
      <c r="G96" s="51"/>
      <c r="H96" s="51"/>
      <c r="I96" s="51"/>
      <c r="J96" s="51"/>
      <c r="K96" s="50"/>
      <c r="L96" s="51"/>
      <c r="M96" s="51"/>
      <c r="N96" s="51"/>
      <c r="O96" s="51"/>
      <c r="P96" s="51"/>
      <c r="Q96" s="51"/>
      <c r="R96" s="51"/>
      <c r="S96" s="51"/>
      <c r="T96" s="50"/>
      <c r="U96" s="51"/>
      <c r="V96" s="51"/>
      <c r="W96" s="51"/>
      <c r="X96" s="51"/>
      <c r="Y96" s="51"/>
      <c r="Z96" s="51"/>
      <c r="AA96" s="51"/>
      <c r="AB96" s="51"/>
      <c r="AC96" s="50"/>
      <c r="AD96" s="51"/>
      <c r="AE96" s="51"/>
      <c r="AF96" s="51"/>
      <c r="AG96" s="51"/>
      <c r="AH96" s="51"/>
      <c r="AI96" s="51"/>
      <c r="AJ96" s="51"/>
      <c r="AK96" s="51"/>
      <c r="AL96" s="50"/>
      <c r="AM96" s="51"/>
      <c r="AN96" s="51"/>
      <c r="AO96" s="51"/>
      <c r="AP96" s="51"/>
      <c r="AQ96" s="51"/>
      <c r="AR96" s="51"/>
      <c r="AS96" s="51"/>
      <c r="AT96" s="51"/>
      <c r="AU96" s="50"/>
      <c r="AV96" s="51"/>
      <c r="AW96" s="51"/>
      <c r="AX96" s="51"/>
      <c r="AY96" s="51"/>
      <c r="AZ96" s="25"/>
      <c r="BA96" s="25"/>
      <c r="BB96" s="25"/>
      <c r="BC96" s="25"/>
      <c r="BD96" s="25"/>
      <c r="BE96" s="25"/>
      <c r="BF96" s="25"/>
      <c r="BG96" s="28"/>
    </row>
    <row r="97" spans="1:59" s="99" customFormat="1" ht="15" customHeight="1">
      <c r="A97" s="104" t="s">
        <v>112</v>
      </c>
      <c r="B97" s="105"/>
      <c r="C97" s="106" t="str">
        <f>IF(C82="","",IFERROR(VLOOKUP(B81,[2]DATA!$A$12:$H$16,2,TRUE),0))</f>
        <v/>
      </c>
      <c r="D97" s="106">
        <f>IF(D82="","",IFERROR(VLOOKUP(B81,[2]DATA!$A$12:$H$16,3,TRUE),0))</f>
        <v>1</v>
      </c>
      <c r="E97" s="106">
        <f>IF(E82="","",IFERROR(VLOOKUP(B81,[2]DATA!$A$12:$H$16,4,TRUE),0))</f>
        <v>1</v>
      </c>
      <c r="F97" s="106">
        <f>IF(F82="","",IFERROR(VLOOKUP(B81,[2]DATA!$A$12:$H$16,5,TRUE),0))</f>
        <v>0</v>
      </c>
      <c r="G97" s="106">
        <f>IF(G82="","",IFERROR(VLOOKUP(B81,[2]DATA!$A$12:$H$16,6,TRUE),0))</f>
        <v>0</v>
      </c>
      <c r="H97" s="106"/>
      <c r="I97" s="106"/>
      <c r="J97" s="106">
        <f>SUM(C97:G97)</f>
        <v>2</v>
      </c>
      <c r="K97" s="106"/>
      <c r="L97" s="106">
        <f>IF(L82="","",IFERROR(VLOOKUP(K81,[2]DATA!$A$12:$H$16,2,TRUE),0))</f>
        <v>1</v>
      </c>
      <c r="M97" s="106">
        <f>IF(M82="","",IFERROR(VLOOKUP(K81,[2]DATA!$A$12:$H$16,3,TRUE),0))</f>
        <v>1</v>
      </c>
      <c r="N97" s="106">
        <f>IF(N82="","",IFERROR(VLOOKUP(K81,[2]DATA!$A$12:$H$16,4,TRUE),0))</f>
        <v>1</v>
      </c>
      <c r="O97" s="106">
        <f>IF(O82="","",IFERROR(VLOOKUP(K81,[2]DATA!$A$12:$H$16,5,TRUE),0))</f>
        <v>1</v>
      </c>
      <c r="P97" s="106">
        <f>IF(P82="","",IFERROR(VLOOKUP(K81,[2]DATA!$A$12:$H$16,6,TRUE),0))</f>
        <v>1</v>
      </c>
      <c r="Q97" s="106"/>
      <c r="R97" s="106"/>
      <c r="S97" s="106">
        <f>SUM(L97:P97)</f>
        <v>5</v>
      </c>
      <c r="T97" s="106"/>
      <c r="U97" s="106">
        <f>IF(U82="","",IFERROR(VLOOKUP(T81,[2]DATA!$A$12:$H$16,2,TRUE),0))</f>
        <v>1</v>
      </c>
      <c r="V97" s="106">
        <f>IF(V82="","",IFERROR(VLOOKUP(T81,[2]DATA!$A$12:$H$16,3,TRUE),0))</f>
        <v>0</v>
      </c>
      <c r="W97" s="106">
        <f>IF(W82="","",IFERROR(VLOOKUP(T81,[2]DATA!$A$12:$H$16,4,TRUE),0))</f>
        <v>0</v>
      </c>
      <c r="X97" s="106">
        <f>IF(X82="","",IFERROR(VLOOKUP(T81,[2]DATA!$A$12:$H$16,5,TRUE),0))</f>
        <v>1</v>
      </c>
      <c r="Y97" s="106">
        <f>IF(Y82="","",IFERROR(VLOOKUP(T81,[2]DATA!$A$12:$H$16,6,TRUE),0))</f>
        <v>1</v>
      </c>
      <c r="Z97" s="106"/>
      <c r="AA97" s="106"/>
      <c r="AB97" s="106">
        <f>SUM(U97:Y97)</f>
        <v>3</v>
      </c>
      <c r="AC97" s="106"/>
      <c r="AD97" s="106">
        <f>IF(AD82="","",IFERROR(VLOOKUP(AC81,[2]DATA!$A$12:$H$16,2,TRUE),0))</f>
        <v>1</v>
      </c>
      <c r="AE97" s="106">
        <f>IF(AE82="","",IFERROR(VLOOKUP(AC81,[2]DATA!$A$12:$H$16,3,TRUE),0))</f>
        <v>1</v>
      </c>
      <c r="AF97" s="106">
        <f>IF(AF82="","",IFERROR(VLOOKUP(AC81,[2]DATA!$A$12:$H$16,4,TRUE),0))</f>
        <v>1</v>
      </c>
      <c r="AG97" s="106">
        <f>IF(AG82="","",IFERROR(VLOOKUP(AC81,[2]DATA!$A$12:$H$16,5,TRUE),0))</f>
        <v>1</v>
      </c>
      <c r="AH97" s="106">
        <f>IF(AH82="","",IFERROR(VLOOKUP(AC81,[2]DATA!$A$12:$H$16,6,TRUE),0))</f>
        <v>1</v>
      </c>
      <c r="AI97" s="106"/>
      <c r="AJ97" s="106"/>
      <c r="AK97" s="106">
        <f>SUM(AD97:AH97)</f>
        <v>5</v>
      </c>
      <c r="AL97" s="106"/>
      <c r="AM97" s="106">
        <f>IF(AM82="","",IFERROR(VLOOKUP(AL81,[2]DATA!$A$12:$H$16,2,TRUE),0))</f>
        <v>1</v>
      </c>
      <c r="AN97" s="106">
        <f>IF(AN82="","",IFERROR(VLOOKUP(AL81,[2]DATA!$A$12:$H$16,3,TRUE),0))</f>
        <v>1</v>
      </c>
      <c r="AO97" s="106">
        <f>IF(AO82="","",IFERROR(VLOOKUP(AL81,[2]DATA!$A$12:$H$16,4,TRUE),0))</f>
        <v>1</v>
      </c>
      <c r="AP97" s="106">
        <f>IF(AP82="","",IFERROR(VLOOKUP(AL81,[2]DATA!$A$12:$H$16,5,TRUE),0))</f>
        <v>0</v>
      </c>
      <c r="AQ97" s="106" t="str">
        <f>IF(AQ82="","",IFERROR(VLOOKUP(AL81,[2]DATA!$A$12:$H$16,6,TRUE),0))</f>
        <v/>
      </c>
      <c r="AR97" s="106"/>
      <c r="AS97" s="106"/>
      <c r="AT97" s="106">
        <f>SUM(AM97:AQ97)</f>
        <v>3</v>
      </c>
      <c r="AU97" s="106"/>
      <c r="AV97" s="106" t="str">
        <f>IF(AV82="","",IFERROR(VLOOKUP(AU81,[2]DATA!$A$12:$H$16,2,TRUE),0))</f>
        <v/>
      </c>
      <c r="AW97" s="106" t="str">
        <f>IF(AW82="","",IFERROR(VLOOKUP(AU81,[2]DATA!$A$12:$H$16,3,TRUE),0))</f>
        <v/>
      </c>
      <c r="AX97" s="106">
        <f>SUM(AV97:AW97)</f>
        <v>0</v>
      </c>
      <c r="AY97" s="107"/>
      <c r="AZ97" s="34"/>
      <c r="BA97" s="34"/>
      <c r="BB97" s="34"/>
      <c r="BC97" s="34"/>
      <c r="BD97" s="34"/>
      <c r="BE97" s="34"/>
      <c r="BF97" s="98"/>
    </row>
    <row r="98" spans="1:59" s="99" customFormat="1" ht="15" customHeight="1">
      <c r="A98" s="108" t="s">
        <v>113</v>
      </c>
      <c r="B98" s="109"/>
      <c r="C98" s="53"/>
      <c r="D98" s="53"/>
      <c r="E98" s="53"/>
      <c r="F98" s="53"/>
      <c r="G98" s="53"/>
      <c r="H98" s="53"/>
      <c r="I98" s="53"/>
      <c r="J98" s="53">
        <f>J85-J97</f>
        <v>0</v>
      </c>
      <c r="K98" s="53"/>
      <c r="L98" s="53"/>
      <c r="M98" s="53"/>
      <c r="N98" s="53"/>
      <c r="O98" s="53"/>
      <c r="P98" s="53"/>
      <c r="Q98" s="53"/>
      <c r="R98" s="53"/>
      <c r="S98" s="53">
        <f>S85-S97</f>
        <v>0</v>
      </c>
      <c r="T98" s="53"/>
      <c r="U98" s="53"/>
      <c r="V98" s="53"/>
      <c r="W98" s="53"/>
      <c r="X98" s="53"/>
      <c r="Y98" s="53"/>
      <c r="Z98" s="53"/>
      <c r="AA98" s="53"/>
      <c r="AB98" s="53">
        <f>AB85-AB97</f>
        <v>0</v>
      </c>
      <c r="AC98" s="53"/>
      <c r="AD98" s="53"/>
      <c r="AE98" s="53"/>
      <c r="AF98" s="53"/>
      <c r="AG98" s="53"/>
      <c r="AH98" s="53"/>
      <c r="AI98" s="53"/>
      <c r="AJ98" s="53"/>
      <c r="AK98" s="53">
        <f>AK85-AK97</f>
        <v>0</v>
      </c>
      <c r="AL98" s="53"/>
      <c r="AM98" s="53"/>
      <c r="AN98" s="53"/>
      <c r="AO98" s="53"/>
      <c r="AP98" s="53"/>
      <c r="AQ98" s="53"/>
      <c r="AR98" s="53"/>
      <c r="AS98" s="53"/>
      <c r="AT98" s="53">
        <f>AT85-AT97</f>
        <v>0</v>
      </c>
      <c r="AU98" s="53"/>
      <c r="AV98" s="53"/>
      <c r="AW98" s="53"/>
      <c r="AX98" s="53">
        <f>AX85-AX97</f>
        <v>0</v>
      </c>
      <c r="AY98" s="110">
        <f>AT98+AK98+AB98+S98+J98</f>
        <v>0</v>
      </c>
      <c r="AZ98" s="34"/>
      <c r="BA98" s="34"/>
      <c r="BB98" s="34"/>
      <c r="BC98" s="34"/>
      <c r="BD98" s="34"/>
      <c r="BE98" s="34"/>
      <c r="BF98" s="98"/>
    </row>
    <row r="99" spans="1:59" s="5" customFormat="1" ht="27">
      <c r="A99" s="16"/>
      <c r="B99" s="16"/>
      <c r="C99" s="101" t="s">
        <v>17</v>
      </c>
      <c r="D99" s="101"/>
      <c r="E99" s="101"/>
      <c r="F99" s="101"/>
      <c r="G99" s="101"/>
      <c r="H99" s="112">
        <f>Année_Calendaire</f>
        <v>2018</v>
      </c>
      <c r="I99" s="112"/>
      <c r="J99" s="94"/>
      <c r="K99" s="46"/>
      <c r="L99" s="102"/>
      <c r="M99" s="102"/>
      <c r="N99" s="102"/>
      <c r="O99" s="102"/>
      <c r="P99" s="102"/>
      <c r="Q99" s="102"/>
      <c r="R99" s="102"/>
      <c r="S99" s="46"/>
      <c r="T99" s="46"/>
      <c r="U99" s="101" t="s">
        <v>17</v>
      </c>
      <c r="V99" s="101"/>
      <c r="W99" s="101"/>
      <c r="X99" s="101"/>
      <c r="Y99" s="101"/>
      <c r="Z99" s="112">
        <f>Année_Calendaire</f>
        <v>2018</v>
      </c>
      <c r="AA99" s="112"/>
      <c r="AB99" s="46"/>
      <c r="AC99" s="46"/>
      <c r="AD99" s="102"/>
      <c r="AE99" s="102"/>
      <c r="AF99" s="102"/>
      <c r="AG99" s="102"/>
      <c r="AH99" s="102"/>
      <c r="AI99" s="102"/>
      <c r="AJ99" s="102"/>
      <c r="AK99" s="46"/>
      <c r="AL99" s="46"/>
      <c r="AM99" s="101" t="s">
        <v>17</v>
      </c>
      <c r="AN99" s="101"/>
      <c r="AO99" s="101"/>
      <c r="AP99" s="101"/>
      <c r="AQ99" s="101"/>
      <c r="AR99" s="112">
        <f>Année_Calendaire</f>
        <v>2018</v>
      </c>
      <c r="AS99" s="112"/>
      <c r="AT99" s="46"/>
      <c r="AU99" s="46"/>
      <c r="AV99" s="25"/>
      <c r="AW99" s="25"/>
      <c r="AX99" s="46"/>
      <c r="AY99" s="40"/>
      <c r="AZ99" s="32"/>
      <c r="BA99" s="40"/>
      <c r="BB99" s="40"/>
      <c r="BC99" s="40"/>
      <c r="BD99" s="32"/>
      <c r="BE99" s="32"/>
      <c r="BF99" s="26"/>
    </row>
    <row r="100" spans="1:59" s="22" customFormat="1" ht="29.25" customHeight="1">
      <c r="A100" s="35"/>
      <c r="B100" s="54" t="str">
        <f>IF(C100="",AU81,LEFT(AU81)&amp;MOD(RIGHT(AU81),4)+1)</f>
        <v>c1</v>
      </c>
      <c r="C100" s="100" t="str">
        <f>IF(C101&lt;&gt;"","Lun","")</f>
        <v/>
      </c>
      <c r="D100" s="100" t="str">
        <f>IF(D101&lt;&gt;"","Mar","")</f>
        <v/>
      </c>
      <c r="E100" s="100" t="str">
        <f>IF(E101&lt;&gt;"","Mer","")</f>
        <v/>
      </c>
      <c r="F100" s="100" t="str">
        <f>IF(F101&lt;&gt;"","Jeu","")</f>
        <v/>
      </c>
      <c r="G100" s="100" t="str">
        <f>IF(G101&lt;&gt;"","Ven","")</f>
        <v>Ven</v>
      </c>
      <c r="H100" s="100" t="str">
        <f>IF(H101&lt;&gt;"","Sam","")</f>
        <v>Sam</v>
      </c>
      <c r="I100" s="100" t="str">
        <f>IF(I101&lt;&gt;"","Dim","")</f>
        <v>Dim</v>
      </c>
      <c r="J100" s="113" t="s">
        <v>25</v>
      </c>
      <c r="K100" s="54" t="str">
        <f>IF(L100="",LEFT(B100)&amp;MOD(RIGHT(B100),5),LEFT(B100)&amp;MOD(RIGHT(B100),4)+1)</f>
        <v>c2</v>
      </c>
      <c r="L100" s="100" t="str">
        <f>IF(L101&lt;&gt;"","Lun","")</f>
        <v>Lun</v>
      </c>
      <c r="M100" s="100" t="str">
        <f>IF(M101&lt;&gt;"","Mar","")</f>
        <v>Mar</v>
      </c>
      <c r="N100" s="100" t="str">
        <f>IF(N101&lt;&gt;"","Mer","")</f>
        <v>Mer</v>
      </c>
      <c r="O100" s="100" t="str">
        <f>IF(O101&lt;&gt;"","Jeu","")</f>
        <v>Jeu</v>
      </c>
      <c r="P100" s="100" t="str">
        <f>IF(P101&lt;&gt;"","Ven","")</f>
        <v>Ven</v>
      </c>
      <c r="Q100" s="100" t="str">
        <f>IF(Q101&lt;&gt;"","Sam","")</f>
        <v>Sam</v>
      </c>
      <c r="R100" s="100" t="str">
        <f>IF(R101&lt;&gt;"","Dim","")</f>
        <v>Dim</v>
      </c>
      <c r="S100" s="113" t="s">
        <v>25</v>
      </c>
      <c r="T100" s="54" t="str">
        <f>IF(U100="",LEFT(K100)&amp;MOD(RIGHT(K100),5),LEFT(K100)&amp;MOD(RIGHT(K100),4)+1)</f>
        <v>c3</v>
      </c>
      <c r="U100" s="100" t="str">
        <f>IF(U101&lt;&gt;"","Lun","")</f>
        <v>Lun</v>
      </c>
      <c r="V100" s="100" t="str">
        <f>IF(V101&lt;&gt;"","Mar","")</f>
        <v>Mar</v>
      </c>
      <c r="W100" s="100" t="str">
        <f>IF(W101&lt;&gt;"","Mer","")</f>
        <v>Mer</v>
      </c>
      <c r="X100" s="100" t="str">
        <f>IF(X101&lt;&gt;"","Jeu","")</f>
        <v>Jeu</v>
      </c>
      <c r="Y100" s="100" t="str">
        <f>IF(Y101&lt;&gt;"","Ven","")</f>
        <v>Ven</v>
      </c>
      <c r="Z100" s="100" t="str">
        <f>IF(Z101&lt;&gt;"","Sam","")</f>
        <v>Sam</v>
      </c>
      <c r="AA100" s="100" t="str">
        <f>IF(AA101&lt;&gt;"","Dim","")</f>
        <v>Dim</v>
      </c>
      <c r="AB100" s="113" t="s">
        <v>25</v>
      </c>
      <c r="AC100" s="54" t="str">
        <f>IF(AD100="",LEFT(T100)&amp;MOD(RIGHT(T100),5),LEFT(T100)&amp;MOD(RIGHT(T100),4)+1)</f>
        <v>c4</v>
      </c>
      <c r="AD100" s="100" t="str">
        <f>IF(AD101&lt;&gt;"","Lun","")</f>
        <v>Lun</v>
      </c>
      <c r="AE100" s="100" t="str">
        <f>IF(AE101&lt;&gt;"","Mar","")</f>
        <v>Mar</v>
      </c>
      <c r="AF100" s="100" t="str">
        <f>IF(AF101&lt;&gt;"","Mer","")</f>
        <v>Mer</v>
      </c>
      <c r="AG100" s="100" t="str">
        <f>IF(AG101&lt;&gt;"","Jeu","")</f>
        <v>Jeu</v>
      </c>
      <c r="AH100" s="100" t="str">
        <f>IF(AH101&lt;&gt;"","Ven","")</f>
        <v>Ven</v>
      </c>
      <c r="AI100" s="100" t="str">
        <f>IF(AI101&lt;&gt;"","Sam","")</f>
        <v>Sam</v>
      </c>
      <c r="AJ100" s="100" t="str">
        <f>IF(AJ101&lt;&gt;"","Dim","")</f>
        <v>Dim</v>
      </c>
      <c r="AK100" s="113" t="s">
        <v>25</v>
      </c>
      <c r="AL100" s="54" t="str">
        <f>IF(AM100="",LEFT(AC100)&amp;MOD(RIGHT(AC100),5),LEFT(AC100)&amp;MOD(RIGHT(AC100),4)+1)</f>
        <v>c1</v>
      </c>
      <c r="AM100" s="100" t="str">
        <f>IF(AM101&lt;&gt;"","Lun","")</f>
        <v>Lun</v>
      </c>
      <c r="AN100" s="100" t="str">
        <f>IF(AN101&lt;&gt;"","Mar","")</f>
        <v>Mar</v>
      </c>
      <c r="AO100" s="100" t="str">
        <f>IF(AO101&lt;&gt;"","Mer","")</f>
        <v>Mer</v>
      </c>
      <c r="AP100" s="100" t="str">
        <f>IF(AP101&lt;&gt;"","Jeu","")</f>
        <v>Jeu</v>
      </c>
      <c r="AQ100" s="100" t="str">
        <f>IF(AQ101&lt;&gt;"","Ven","")</f>
        <v>Ven</v>
      </c>
      <c r="AR100" s="100" t="str">
        <f>IF(AR101&lt;&gt;"","Sam","")</f>
        <v>Sam</v>
      </c>
      <c r="AS100" s="100" t="str">
        <f>IF(AS101&lt;&gt;"","Dim","")</f>
        <v/>
      </c>
      <c r="AT100" s="113" t="s">
        <v>25</v>
      </c>
      <c r="AU100" s="54" t="str">
        <f>IF(AV100="",LEFT(AL100)&amp;MOD(RIGHT(AL100),5),LEFT(AL100)&amp;MOD(RIGHT(AL100),4)+1)</f>
        <v>c1</v>
      </c>
      <c r="AV100" s="52" t="str">
        <f>IF(AV101&lt;&gt;"","Lun","")</f>
        <v/>
      </c>
      <c r="AW100" s="52" t="str">
        <f>IF(AW101&lt;&gt;"","Mar","")</f>
        <v/>
      </c>
      <c r="AX100" s="113" t="s">
        <v>25</v>
      </c>
      <c r="AY100" s="113" t="s">
        <v>28</v>
      </c>
      <c r="AZ100" s="114">
        <f>AY107+AY108+AY109</f>
        <v>0</v>
      </c>
      <c r="BA100" s="114">
        <f>AZ100+BA81</f>
        <v>0</v>
      </c>
      <c r="BB100" s="38"/>
      <c r="BC100" s="38"/>
      <c r="BD100" s="38"/>
      <c r="BE100" s="38"/>
      <c r="BF100" s="33"/>
    </row>
    <row r="101" spans="1:59" s="24" customFormat="1" ht="15" customHeight="1">
      <c r="A101" s="10"/>
      <c r="B101" s="53"/>
      <c r="C101" s="85" t="str">
        <f>IF(DAY(Juin_Dim1)=1,"",IF(AND(YEAR(Juin_Dim1+1)=Année_Calendaire,MONTH(Juin_Dim1+1)=6),Juin_Dim1+1,""))</f>
        <v/>
      </c>
      <c r="D101" s="85" t="str">
        <f>IF(DAY(Juin_Dim1)=1,"",IF(AND(YEAR(Juin_Dim1+2)=Année_Calendaire,MONTH(Juin_Dim1+2)=6),Juin_Dim1+2,""))</f>
        <v/>
      </c>
      <c r="E101" s="85" t="str">
        <f>IF(DAY(Juin_Dim1)=1,"",IF(AND(YEAR(Juin_Dim1+3)=Année_Calendaire,MONTH(Juin_Dim1+3)=6),Juin_Dim1+3,""))</f>
        <v/>
      </c>
      <c r="F101" s="85" t="str">
        <f>IF(DAY(Juin_Dim1)=1,"",IF(AND(YEAR(Juin_Dim1+4)=Année_Calendaire,MONTH(Juin_Dim1+4)=6),Juin_Dim1+4,""))</f>
        <v/>
      </c>
      <c r="G101" s="85">
        <f>IF(DAY(Juin_Dim1)=1,"",IF(AND(YEAR(Juin_Dim1+5)=Année_Calendaire,MONTH(Juin_Dim1+5)=6),Juin_Dim1+5,""))</f>
        <v>43252</v>
      </c>
      <c r="H101" s="85">
        <f>IF(DAY(Juin_Dim1)=1,"",IF(AND(YEAR(Juin_Dim1+6)=Année_Calendaire,MONTH(Juin_Dim1+6)=6),Juin_Dim1+6,""))</f>
        <v>43253</v>
      </c>
      <c r="I101" s="85">
        <f>IF(DAY(Juin_Dim1)=1,IF(AND(YEAR(Juin_Dim1)=Année_Calendaire,MONTH(Juin_Dim1)=6),Juin_Dim1,""),IF(AND(YEAR(Juin_Dim1+7)=Année_Calendaire,MONTH(Juin_Dim1+7)=6),Juin_Dim1+7,""))</f>
        <v>43254</v>
      </c>
      <c r="J101" s="113"/>
      <c r="K101" s="53"/>
      <c r="L101" s="87">
        <f>IF(DAY(Juin_Dim1)=1,IF(AND(YEAR(Juin_Dim1+1)=Année_Calendaire,MONTH(Juin_Dim1+1)=6),Juin_Dim1+1,""),IF(AND(YEAR(Juin_Dim1+8)=Année_Calendaire,MONTH(Juin_Dim1+8)=6),Juin_Dim1+8,""))</f>
        <v>43255</v>
      </c>
      <c r="M101" s="85">
        <f>IF(DAY(Juin_Dim1)=1,IF(AND(YEAR(Juin_Dim1+2)=Année_Calendaire,MONTH(Juin_Dim1+2)=6),Juin_Dim1+2,""),IF(AND(YEAR(Juin_Dim1+9)=Année_Calendaire,MONTH(Juin_Dim1+9)=6),Juin_Dim1+9,""))</f>
        <v>43256</v>
      </c>
      <c r="N101" s="85">
        <f>IF(DAY(Juin_Dim1)=1,IF(AND(YEAR(Juin_Dim1+3)=Année_Calendaire,MONTH(Juin_Dim1+3)=6),Juin_Dim1+3,""),IF(AND(YEAR(Juin_Dim1+10)=Année_Calendaire,MONTH(Juin_Dim1+10)=6),Juin_Dim1+10,""))</f>
        <v>43257</v>
      </c>
      <c r="O101" s="85">
        <f>IF(DAY(Juin_Dim1)=1,IF(AND(YEAR(Juin_Dim1+4)=Année_Calendaire,MONTH(Juin_Dim1+4)=6),Juin_Dim1+4,""),IF(AND(YEAR(Juin_Dim1+11)=Année_Calendaire,MONTH(Juin_Dim1+11)=6),Juin_Dim1+11,""))</f>
        <v>43258</v>
      </c>
      <c r="P101" s="85">
        <f>IF(DAY(Juin_Dim1)=1,IF(AND(YEAR(Juin_Dim1+5)=Année_Calendaire,MONTH(Juin_Dim1+5)=6),Juin_Dim1+5,""),IF(AND(YEAR(Juin_Dim1+12)=Année_Calendaire,MONTH(Juin_Dim1+12)=6),Juin_Dim1+12,""))</f>
        <v>43259</v>
      </c>
      <c r="Q101" s="85">
        <f>IF(DAY(Juin_Dim1)=1,IF(AND(YEAR(Juin_Dim1+6)=Année_Calendaire,MONTH(Juin_Dim1+6)=6),Juin_Dim1+6,""),IF(AND(YEAR(Juin_Dim1+13)=Année_Calendaire,MONTH(Juin_Dim1+13)=6),Juin_Dim1+13,""))</f>
        <v>43260</v>
      </c>
      <c r="R101" s="85">
        <f>IF(DAY(Juin_Dim1)=1,IF(AND(YEAR(Juin_Dim1+7)=Année_Calendaire,MONTH(Juin_Dim1+7)=6),Juin_Dim1+7,""),IF(AND(YEAR(Juin_Dim1+14)=Année_Calendaire,MONTH(Juin_Dim1+14)=6),Juin_Dim1+14,""))</f>
        <v>43261</v>
      </c>
      <c r="S101" s="113"/>
      <c r="T101" s="53"/>
      <c r="U101" s="85">
        <f>IF(DAY(Juin_Dim1)=1,IF(AND(YEAR(Juin_Dim1+8)=Année_Calendaire,MONTH(Juin_Dim1+8)=6),Juin_Dim1+8,""),IF(AND(YEAR(Juin_Dim1+15)=Année_Calendaire,MONTH(Juin_Dim1+15)=6),Juin_Dim1+15,""))</f>
        <v>43262</v>
      </c>
      <c r="V101" s="85">
        <f>IF(DAY(Juin_Dim1)=1,IF(AND(YEAR(Juin_Dim1+9)=Année_Calendaire,MONTH(Juin_Dim1+9)=6),Juin_Dim1+9,""),IF(AND(YEAR(Juin_Dim1+16)=Année_Calendaire,MONTH(Juin_Dim1+16)=6),Juin_Dim1+16,""))</f>
        <v>43263</v>
      </c>
      <c r="W101" s="85">
        <f>IF(DAY(Juin_Dim1)=1,IF(AND(YEAR(Juin_Dim1+10)=Année_Calendaire,MONTH(Juin_Dim1+10)=6),Juin_Dim1+10,""),IF(AND(YEAR(Juin_Dim1+17)=Année_Calendaire,MONTH(Juin_Dim1+17)=6),Juin_Dim1+17,""))</f>
        <v>43264</v>
      </c>
      <c r="X101" s="85">
        <f>IF(DAY(Juin_Dim1)=1,IF(AND(YEAR(Juin_Dim1+11)=Année_Calendaire,MONTH(Juin_Dim1+11)=6),Juin_Dim1+11,""),IF(AND(YEAR(Juin_Dim1+18)=Année_Calendaire,MONTH(Juin_Dim1+18)=6),Juin_Dim1+18,""))</f>
        <v>43265</v>
      </c>
      <c r="Y101" s="85">
        <f>IF(DAY(Juin_Dim1)=1,IF(AND(YEAR(Juin_Dim1+12)=Année_Calendaire,MONTH(Juin_Dim1+12)=6),Juin_Dim1+12,""),IF(AND(YEAR(Juin_Dim1+19)=Année_Calendaire,MONTH(Juin_Dim1+19)=6),Juin_Dim1+19,""))</f>
        <v>43266</v>
      </c>
      <c r="Z101" s="85">
        <f>IF(DAY(Juin_Dim1)=1,IF(AND(YEAR(Juin_Dim1+13)=Année_Calendaire,MONTH(Juin_Dim1+13)=6),Juin_Dim1+13,""),IF(AND(YEAR(Juin_Dim1+20)=Année_Calendaire,MONTH(Juin_Dim1+20)=6),Juin_Dim1+20,""))</f>
        <v>43267</v>
      </c>
      <c r="AA101" s="85">
        <f>IF(DAY(Juin_Dim1)=1,IF(AND(YEAR(Juin_Dim1+14)=Année_Calendaire,MONTH(Juin_Dim1+14)=6),Juin_Dim1+14,""),IF(AND(YEAR(Juin_Dim1+21)=Année_Calendaire,MONTH(Juin_Dim1+21)=6),Juin_Dim1+21,""))</f>
        <v>43268</v>
      </c>
      <c r="AB101" s="113"/>
      <c r="AC101" s="53"/>
      <c r="AD101" s="85">
        <f>IF(DAY(Juin_Dim1)=1,IF(AND(YEAR(Juin_Dim1+15)=Année_Calendaire,MONTH(Juin_Dim1+15)=6),Juin_Dim1+15,""),IF(AND(YEAR(Juin_Dim1+22)=Année_Calendaire,MONTH(Juin_Dim1+22)=6),Juin_Dim1+22,""))</f>
        <v>43269</v>
      </c>
      <c r="AE101" s="85">
        <f>IF(DAY(Juin_Dim1)=1,IF(AND(YEAR(Juin_Dim1+16)=Année_Calendaire,MONTH(Juin_Dim1+16)=6),Juin_Dim1+16,""),IF(AND(YEAR(Juin_Dim1+23)=Année_Calendaire,MONTH(Juin_Dim1+23)=6),Juin_Dim1+23,""))</f>
        <v>43270</v>
      </c>
      <c r="AF101" s="85">
        <f>IF(DAY(Juin_Dim1)=1,IF(AND(YEAR(Juin_Dim1+17)=Année_Calendaire,MONTH(Juin_Dim1+17)=6),Juin_Dim1+17,""),IF(AND(YEAR(Juin_Dim1+24)=Année_Calendaire,MONTH(Juin_Dim1+24)=6),Juin_Dim1+24,""))</f>
        <v>43271</v>
      </c>
      <c r="AG101" s="85">
        <f>IF(DAY(Juin_Dim1)=1,IF(AND(YEAR(Juin_Dim1+18)=Année_Calendaire,MONTH(Juin_Dim1+18)=6),Juin_Dim1+18,""),IF(AND(YEAR(Juin_Dim1+25)=Année_Calendaire,MONTH(Juin_Dim1+25)=6),Juin_Dim1+25,""))</f>
        <v>43272</v>
      </c>
      <c r="AH101" s="85">
        <f>IF(DAY(Juin_Dim1)=1,IF(AND(YEAR(Juin_Dim1+19)=Année_Calendaire,MONTH(Juin_Dim1+19)=6),Juin_Dim1+19,""),IF(AND(YEAR(Juin_Dim1+26)=Année_Calendaire,MONTH(Juin_Dim1+26)=6),Juin_Dim1+26,""))</f>
        <v>43273</v>
      </c>
      <c r="AI101" s="85">
        <f>IF(DAY(Juin_Dim1)=1,IF(AND(YEAR(Juin_Dim1+20)=Année_Calendaire,MONTH(Juin_Dim1+20)=6),Juin_Dim1+20,""),IF(AND(YEAR(Juin_Dim1+27)=Année_Calendaire,MONTH(Juin_Dim1+27)=6),Juin_Dim1+27,""))</f>
        <v>43274</v>
      </c>
      <c r="AJ101" s="85">
        <f>IF(DAY(Juin_Dim1)=1,IF(AND(YEAR(Juin_Dim1+21)=Année_Calendaire,MONTH(Juin_Dim1+21)=6),Juin_Dim1+21,""),IF(AND(YEAR(Juin_Dim1+28)=Année_Calendaire,MONTH(Juin_Dim1+28)=6),Juin_Dim1+28,""))</f>
        <v>43275</v>
      </c>
      <c r="AK101" s="113"/>
      <c r="AL101" s="53"/>
      <c r="AM101" s="85">
        <f>IF(DAY(Juin_Dim1)=1,IF(AND(YEAR(Juin_Dim1+22)=Année_Calendaire,MONTH(Juin_Dim1+22)=6),Juin_Dim1+22,""),IF(AND(YEAR(Juin_Dim1+29)=Année_Calendaire,MONTH(Juin_Dim1+29)=6),Juin_Dim1+29,""))</f>
        <v>43276</v>
      </c>
      <c r="AN101" s="85">
        <f>IF(DAY(Juin_Dim1)=1,IF(AND(YEAR(Juin_Dim1+23)=Année_Calendaire,MONTH(Juin_Dim1+23)=6),Juin_Dim1+23,""),IF(AND(YEAR(Juin_Dim1+30)=Année_Calendaire,MONTH(Juin_Dim1+30)=6),Juin_Dim1+30,""))</f>
        <v>43277</v>
      </c>
      <c r="AO101" s="85">
        <f>IF(DAY(Juin_Dim1)=1,IF(AND(YEAR(Juin_Dim1+24)=Année_Calendaire,MONTH(Juin_Dim1+24)=6),Juin_Dim1+24,""),IF(AND(YEAR(Juin_Dim1+31)=Année_Calendaire,MONTH(Juin_Dim1+31)=6),Juin_Dim1+31,""))</f>
        <v>43278</v>
      </c>
      <c r="AP101" s="85">
        <f>IF(DAY(Juin_Dim1)=1,IF(AND(YEAR(Juin_Dim1+25)=Année_Calendaire,MONTH(Juin_Dim1+25)=6),Juin_Dim1+25,""),IF(AND(YEAR(Juin_Dim1+32)=Année_Calendaire,MONTH(Juin_Dim1+32)=6),Juin_Dim1+32,""))</f>
        <v>43279</v>
      </c>
      <c r="AQ101" s="85">
        <f>IF(DAY(Juin_Dim1)=1,IF(AND(YEAR(Juin_Dim1+26)=Année_Calendaire,MONTH(Juin_Dim1+26)=6),Juin_Dim1+26,""),IF(AND(YEAR(Juin_Dim1+33)=Année_Calendaire,MONTH(Juin_Dim1+33)=6),Juin_Dim1+33,""))</f>
        <v>43280</v>
      </c>
      <c r="AR101" s="85">
        <f>IF(DAY(Juin_Dim1)=1,IF(AND(YEAR(Juin_Dim1+27)=Année_Calendaire,MONTH(Juin_Dim1+27)=6),Juin_Dim1+27,""),IF(AND(YEAR(Juin_Dim1+34)=Année_Calendaire,MONTH(Juin_Dim1+34)=6),Juin_Dim1+34,""))</f>
        <v>43281</v>
      </c>
      <c r="AS101" s="85" t="str">
        <f>IF(DAY(Juin_Dim1)=1,IF(AND(YEAR(Juin_Dim1+28)=Année_Calendaire,MONTH(Juin_Dim1+28)=6),Juin_Dim1+28,""),IF(AND(YEAR(Juin_Dim1+35)=Année_Calendaire,MONTH(Juin_Dim1+35)=6),Juin_Dim1+35,""))</f>
        <v/>
      </c>
      <c r="AT101" s="113"/>
      <c r="AU101" s="53"/>
      <c r="AV101" s="53" t="str">
        <f>IF(DAY(Juin_Dim1)=1,IF(AND(YEAR(Juin_Dim1+29)=Année_Calendaire,MONTH(Juin_Dim1+29)=6),Juin_Dim1+29,""),IF(AND(YEAR(Juin_Dim1+36)=Année_Calendaire,MONTH(Juin_Dim1+36)=6),Juin_Dim1+36,""))</f>
        <v/>
      </c>
      <c r="AW101" s="53" t="str">
        <f>IF(DAY(Juin_Dim1)=1,IF(AND(YEAR(Juin_Dim1+30)=Année_Calendaire,MONTH(Juin_Dim1+30)=6),Juin_Dim1+30,""),IF(AND(YEAR(Juin_Dim1+37)=Année_Calendaire,MONTH(Juin_Dim1+37)=6),Juin_Dim1+37,""))</f>
        <v/>
      </c>
      <c r="AX101" s="113"/>
      <c r="AY101" s="113"/>
      <c r="AZ101" s="114"/>
      <c r="BA101" s="114"/>
      <c r="BB101" s="31"/>
      <c r="BC101" s="31"/>
      <c r="BD101" s="31"/>
      <c r="BE101" s="31"/>
      <c r="BF101" s="23"/>
    </row>
    <row r="102" spans="1:59" s="5" customFormat="1" ht="15" customHeight="1">
      <c r="A102" s="47" t="s">
        <v>2</v>
      </c>
      <c r="B102" s="47"/>
      <c r="C102" s="48" t="str">
        <f>IF(C101="","",IFERROR(VLOOKUP(B100,DATA!$A$5:$H$9,2,TRUE),0))</f>
        <v/>
      </c>
      <c r="D102" s="48" t="str">
        <f>IF(D101="","",IFERROR(VLOOKUP(B100,DATA!$A$5:$H$9,3,TRUE),0))</f>
        <v/>
      </c>
      <c r="E102" s="48" t="str">
        <f>IF(E101="","",IFERROR(VLOOKUP(B100,DATA!$A$5:$H$9,4,TRUE),0))</f>
        <v/>
      </c>
      <c r="F102" s="48" t="str">
        <f>IF(F101="","",IFERROR(VLOOKUP(B100,DATA!$A$5:$H$9,5,TRUE),0))</f>
        <v/>
      </c>
      <c r="G102" s="48">
        <f>IF(G101="","",IFERROR(VLOOKUP(B100,DATA!$A$5:$H$9,6,TRUE),0))</f>
        <v>0</v>
      </c>
      <c r="H102" s="48">
        <f>IF(H101="","",IFERROR(VLOOKUP(B100,DATA!$A$5:$H$9,7,TRUE),0))</f>
        <v>0</v>
      </c>
      <c r="I102" s="48">
        <f>IF(I101="","",IFERROR(VLOOKUP(B100,DATA!$A$5:$H$9,8,TRUE),0))</f>
        <v>0</v>
      </c>
      <c r="J102" s="51">
        <f>IF(B100="c1",24,IF((B100="c3"),24,40))</f>
        <v>24</v>
      </c>
      <c r="K102" s="47"/>
      <c r="L102" s="48" t="str">
        <f>IF(L101="","",IFERROR(VLOOKUP(K100,DATA!$A$5:$H$9,2,TRUE),0))</f>
        <v>nuit</v>
      </c>
      <c r="M102" s="48" t="str">
        <f>IF(M101="","",IFERROR(VLOOKUP(K100,DATA!$A$5:$H$9,3,TRUE),0))</f>
        <v>nuit</v>
      </c>
      <c r="N102" s="48" t="str">
        <f>IF(N101="","",IFERROR(VLOOKUP(K100,DATA!$A$5:$H$9,4,TRUE),0))</f>
        <v>nuit</v>
      </c>
      <c r="O102" s="48" t="str">
        <f>IF(O101="","",IFERROR(VLOOKUP(K100,DATA!$A$5:$H$9,5,TRUE),0))</f>
        <v>nuit</v>
      </c>
      <c r="P102" s="48" t="str">
        <f>IF(P101="","",IFERROR(VLOOKUP(K100,DATA!$A$5:$H$9,6,TRUE),0))</f>
        <v>nuit</v>
      </c>
      <c r="Q102" s="48">
        <f>IF(Q101="","",IFERROR(VLOOKUP(K100,DATA!$A$5:$H$9,7,TRUE),0))</f>
        <v>0</v>
      </c>
      <c r="R102" s="48">
        <f>IF(R101="","",IFERROR(VLOOKUP(K100,DATA!$A$5:$H$9,8,TRUE),0))</f>
        <v>0</v>
      </c>
      <c r="S102" s="51">
        <f>IF(K100="c1",24,IF((K100="c3"),24,40))</f>
        <v>40</v>
      </c>
      <c r="T102" s="47"/>
      <c r="U102" s="48" t="str">
        <f>IF(U101="","",IFERROR(VLOOKUP(T100,DATA!$A$5:$H$9,2,TRUE),0))</f>
        <v>matin</v>
      </c>
      <c r="V102" s="48">
        <f>IF(V101="","",IFERROR(VLOOKUP(T100,DATA!$A$5:$H$9,3,TRUE),0))</f>
        <v>0</v>
      </c>
      <c r="W102" s="48">
        <f>IF(W101="","",IFERROR(VLOOKUP(T100,DATA!$A$5:$H$9,4,TRUE),0))</f>
        <v>0</v>
      </c>
      <c r="X102" s="48" t="str">
        <f>IF(X101="","",IFERROR(VLOOKUP(T100,DATA!$A$5:$H$9,5,TRUE),0))</f>
        <v>matin</v>
      </c>
      <c r="Y102" s="48" t="str">
        <f>IF(Y101="","",IFERROR(VLOOKUP(T100,DATA!$A$5:$H$9,6,TRUE),0))</f>
        <v>matin</v>
      </c>
      <c r="Z102" s="48">
        <f>IF(Z101="","",IFERROR(VLOOKUP(T100,DATA!$A$5:$H$9,7,TRUE),0))</f>
        <v>0</v>
      </c>
      <c r="AA102" s="48">
        <f>IF(AA101="","",IFERROR(VLOOKUP(T100,DATA!$A$5:$H$9,8,TRUE),0))</f>
        <v>0</v>
      </c>
      <c r="AB102" s="51">
        <f>IF(T100="c1",24,IF((T100="c3"),24,40))</f>
        <v>24</v>
      </c>
      <c r="AC102" s="47"/>
      <c r="AD102" s="48" t="str">
        <f>IF(AD101="","",IFERROR(VLOOKUP(AC100,DATA!$A$5:$H$9,2,TRUE),0))</f>
        <v>am</v>
      </c>
      <c r="AE102" s="48" t="str">
        <f>IF(AE101="","",IFERROR(VLOOKUP(AC100,DATA!$A$5:$H$9,3,TRUE),0))</f>
        <v>am</v>
      </c>
      <c r="AF102" s="48" t="str">
        <f>IF(AF101="","",IFERROR(VLOOKUP(AC100,DATA!$A$5:$H$9,4,TRUE),0))</f>
        <v>am</v>
      </c>
      <c r="AG102" s="48" t="str">
        <f>IF(AG101="","",IFERROR(VLOOKUP(AC100,DATA!$A$5:$H$9,5,TRUE),0))</f>
        <v>am</v>
      </c>
      <c r="AH102" s="48" t="str">
        <f>IF(AH101="","",IFERROR(VLOOKUP(AC100,DATA!$A$5:$H$9,6,TRUE),0))</f>
        <v>am</v>
      </c>
      <c r="AI102" s="48">
        <f>IF(AI101="","",IFERROR(VLOOKUP(AC100,DATA!$A$5:$H$9,7,TRUE),0))</f>
        <v>0</v>
      </c>
      <c r="AJ102" s="48">
        <f>IF(AJ101="","",IFERROR(VLOOKUP(AC100,DATA!$A$5:$H$9,8,TRUE),0))</f>
        <v>0</v>
      </c>
      <c r="AK102" s="51">
        <f>IF(AC100="c1",24,IF((AC100="c3"),24,40))</f>
        <v>40</v>
      </c>
      <c r="AL102" s="47"/>
      <c r="AM102" s="48" t="str">
        <f>IF(AM101="","",IFERROR(VLOOKUP(AL100,DATA!$A$5:$H$9,2,TRUE),0))</f>
        <v>matin</v>
      </c>
      <c r="AN102" s="48" t="str">
        <f>IF(AN101="","",IFERROR(VLOOKUP(AL100,DATA!$A$5:$H$9,3,TRUE),0))</f>
        <v>matin</v>
      </c>
      <c r="AO102" s="48" t="str">
        <f>IF(AO101="","",IFERROR(VLOOKUP(AL100,DATA!$A$5:$H$9,4,TRUE),0))</f>
        <v>matin</v>
      </c>
      <c r="AP102" s="48">
        <f>IF(AP101="","",IFERROR(VLOOKUP(AL100,DATA!$A$5:$H$9,5,TRUE),0))</f>
        <v>0</v>
      </c>
      <c r="AQ102" s="48">
        <f>IF(AQ101="","",IFERROR(VLOOKUP(AL100,DATA!$A$5:$H$9,6,TRUE),0))</f>
        <v>0</v>
      </c>
      <c r="AR102" s="48">
        <f>IF(AR101="","",IFERROR(VLOOKUP(AL100,DATA!$A$5:$H$9,7,TRUE),0))</f>
        <v>0</v>
      </c>
      <c r="AS102" s="48" t="str">
        <f>IF(AS101="","",IFERROR(VLOOKUP(AL100,DATA!$A$5:$H$9,8,TRUE),0))</f>
        <v/>
      </c>
      <c r="AT102" s="51">
        <f>IF(AL100="c1",24,IF((AL100="c3"),24,40))</f>
        <v>24</v>
      </c>
      <c r="AU102" s="47"/>
      <c r="AV102" s="48" t="str">
        <f>IF(AV101="","",IFERROR(VLOOKUP(AU100,DATA!$A$5:$H$9,2,TRUE),0))</f>
        <v/>
      </c>
      <c r="AW102" s="48" t="str">
        <f>IF(AW101="","",IFERROR(VLOOKUP(AU100,DATA!$A$5:$H$9,3,TRUE),0))</f>
        <v/>
      </c>
      <c r="AX102" s="51">
        <f>IF(AP100="c1",24,IF((AP100="c3"),24,40))</f>
        <v>40</v>
      </c>
      <c r="AY102" s="49"/>
      <c r="AZ102" s="39"/>
      <c r="BA102" s="39"/>
      <c r="BB102" s="39"/>
      <c r="BC102" s="39"/>
      <c r="BD102" s="39"/>
      <c r="BE102" s="39"/>
      <c r="BF102" s="29"/>
    </row>
    <row r="103" spans="1:59" s="27" customFormat="1" ht="15" customHeight="1">
      <c r="A103" s="50" t="s">
        <v>12</v>
      </c>
      <c r="B103" s="50"/>
      <c r="C103" s="51">
        <f t="shared" ref="C103:I103" si="232">IF(C102="Matin",1,IF(C102="AM",1,0))</f>
        <v>0</v>
      </c>
      <c r="D103" s="51">
        <f t="shared" si="232"/>
        <v>0</v>
      </c>
      <c r="E103" s="51">
        <f t="shared" si="232"/>
        <v>0</v>
      </c>
      <c r="F103" s="51">
        <f t="shared" si="232"/>
        <v>0</v>
      </c>
      <c r="G103" s="51">
        <f t="shared" si="232"/>
        <v>0</v>
      </c>
      <c r="H103" s="51">
        <f t="shared" si="232"/>
        <v>0</v>
      </c>
      <c r="I103" s="51">
        <f t="shared" si="232"/>
        <v>0</v>
      </c>
      <c r="J103" s="51">
        <f>SUM(C103:I103)</f>
        <v>0</v>
      </c>
      <c r="K103" s="50"/>
      <c r="L103" s="51">
        <f t="shared" ref="L103:R103" si="233">IF(L102="Matin",1,IF(L102="AM",1,0))</f>
        <v>0</v>
      </c>
      <c r="M103" s="51">
        <f t="shared" si="233"/>
        <v>0</v>
      </c>
      <c r="N103" s="51">
        <f t="shared" si="233"/>
        <v>0</v>
      </c>
      <c r="O103" s="51">
        <f t="shared" si="233"/>
        <v>0</v>
      </c>
      <c r="P103" s="51">
        <f t="shared" si="233"/>
        <v>0</v>
      </c>
      <c r="Q103" s="51">
        <f t="shared" si="233"/>
        <v>0</v>
      </c>
      <c r="R103" s="51">
        <f t="shared" si="233"/>
        <v>0</v>
      </c>
      <c r="S103" s="51">
        <f>SUM(L103:R103)</f>
        <v>0</v>
      </c>
      <c r="T103" s="50"/>
      <c r="U103" s="51">
        <f t="shared" ref="U103:AA103" si="234">IF(U102="Matin",1,IF(U102="AM",1,0))</f>
        <v>1</v>
      </c>
      <c r="V103" s="51">
        <f t="shared" si="234"/>
        <v>0</v>
      </c>
      <c r="W103" s="51">
        <f t="shared" si="234"/>
        <v>0</v>
      </c>
      <c r="X103" s="51">
        <f t="shared" si="234"/>
        <v>1</v>
      </c>
      <c r="Y103" s="51">
        <f t="shared" si="234"/>
        <v>1</v>
      </c>
      <c r="Z103" s="51">
        <f t="shared" si="234"/>
        <v>0</v>
      </c>
      <c r="AA103" s="51">
        <f t="shared" si="234"/>
        <v>0</v>
      </c>
      <c r="AB103" s="51">
        <f>SUM(U103:AA103)</f>
        <v>3</v>
      </c>
      <c r="AC103" s="50"/>
      <c r="AD103" s="51">
        <f t="shared" ref="AD103:AJ103" si="235">IF(AD102="Matin",1,IF(AD102="AM",1,0))</f>
        <v>1</v>
      </c>
      <c r="AE103" s="51">
        <f t="shared" si="235"/>
        <v>1</v>
      </c>
      <c r="AF103" s="51">
        <f t="shared" si="235"/>
        <v>1</v>
      </c>
      <c r="AG103" s="51">
        <f t="shared" si="235"/>
        <v>1</v>
      </c>
      <c r="AH103" s="51">
        <f t="shared" si="235"/>
        <v>1</v>
      </c>
      <c r="AI103" s="51">
        <f t="shared" si="235"/>
        <v>0</v>
      </c>
      <c r="AJ103" s="51">
        <f t="shared" si="235"/>
        <v>0</v>
      </c>
      <c r="AK103" s="51">
        <f>SUM(AD103:AJ103)</f>
        <v>5</v>
      </c>
      <c r="AL103" s="50"/>
      <c r="AM103" s="51">
        <f t="shared" ref="AM103:AS103" si="236">IF(AM102="Matin",1,IF(AM102="AM",1,0))</f>
        <v>1</v>
      </c>
      <c r="AN103" s="51">
        <f t="shared" si="236"/>
        <v>1</v>
      </c>
      <c r="AO103" s="51">
        <f t="shared" si="236"/>
        <v>1</v>
      </c>
      <c r="AP103" s="51">
        <f t="shared" si="236"/>
        <v>0</v>
      </c>
      <c r="AQ103" s="51">
        <f t="shared" si="236"/>
        <v>0</v>
      </c>
      <c r="AR103" s="51">
        <f t="shared" si="236"/>
        <v>0</v>
      </c>
      <c r="AS103" s="51">
        <f t="shared" si="236"/>
        <v>0</v>
      </c>
      <c r="AT103" s="51">
        <f>SUM(AM103:AS103)</f>
        <v>3</v>
      </c>
      <c r="AU103" s="50"/>
      <c r="AV103" s="51">
        <f t="shared" ref="AV103:AW103" si="237">IF(AV102="Matin",1,IF(AV102="AM",1,0))</f>
        <v>0</v>
      </c>
      <c r="AW103" s="51">
        <f t="shared" si="237"/>
        <v>0</v>
      </c>
      <c r="AX103" s="51">
        <f>SUM(AV103:AW103)</f>
        <v>0</v>
      </c>
      <c r="AY103" s="51">
        <f>J103+S103+AB103+AK103+AT103+AX103</f>
        <v>11</v>
      </c>
      <c r="AZ103" s="25"/>
      <c r="BA103" s="25"/>
      <c r="BB103" s="25"/>
      <c r="BC103" s="25"/>
      <c r="BD103" s="25"/>
      <c r="BE103" s="25"/>
      <c r="BF103" s="25"/>
      <c r="BG103" s="28"/>
    </row>
    <row r="104" spans="1:59" s="27" customFormat="1" ht="15" customHeight="1">
      <c r="A104" s="47" t="s">
        <v>4</v>
      </c>
      <c r="B104" s="47"/>
      <c r="C104" s="48">
        <f>IF(C105&gt;=1,1,0)</f>
        <v>0</v>
      </c>
      <c r="D104" s="48">
        <f>IF(D105&gt;=1,1,0)</f>
        <v>0</v>
      </c>
      <c r="E104" s="48">
        <f t="shared" ref="E104:I104" si="238">IF(E105&gt;=1,1,0)</f>
        <v>0</v>
      </c>
      <c r="F104" s="48">
        <f t="shared" si="238"/>
        <v>0</v>
      </c>
      <c r="G104" s="48">
        <f t="shared" si="238"/>
        <v>0</v>
      </c>
      <c r="H104" s="48">
        <f t="shared" si="238"/>
        <v>0</v>
      </c>
      <c r="I104" s="48">
        <f t="shared" si="238"/>
        <v>0</v>
      </c>
      <c r="J104" s="51">
        <f t="shared" ref="J104:J109" si="239">SUM(C104:I104)</f>
        <v>0</v>
      </c>
      <c r="K104" s="47"/>
      <c r="L104" s="48">
        <f>IF(L105&gt;=1,1,0)</f>
        <v>1</v>
      </c>
      <c r="M104" s="48">
        <f t="shared" ref="M104:R104" si="240">IF(M105&gt;=1,1,0)</f>
        <v>1</v>
      </c>
      <c r="N104" s="48">
        <f t="shared" si="240"/>
        <v>1</v>
      </c>
      <c r="O104" s="48">
        <f t="shared" si="240"/>
        <v>1</v>
      </c>
      <c r="P104" s="48">
        <f t="shared" si="240"/>
        <v>1</v>
      </c>
      <c r="Q104" s="48">
        <f t="shared" si="240"/>
        <v>0</v>
      </c>
      <c r="R104" s="48">
        <f t="shared" si="240"/>
        <v>0</v>
      </c>
      <c r="S104" s="51">
        <f t="shared" ref="S104:S109" si="241">SUM(L104:R104)</f>
        <v>5</v>
      </c>
      <c r="T104" s="47"/>
      <c r="U104" s="48">
        <f>IF(U105&gt;=1,1,0)</f>
        <v>1</v>
      </c>
      <c r="V104" s="48">
        <f t="shared" ref="V104:AA104" si="242">IF(V105&gt;=1,1,0)</f>
        <v>0</v>
      </c>
      <c r="W104" s="48">
        <f t="shared" si="242"/>
        <v>0</v>
      </c>
      <c r="X104" s="48">
        <f t="shared" si="242"/>
        <v>1</v>
      </c>
      <c r="Y104" s="48">
        <f t="shared" si="242"/>
        <v>1</v>
      </c>
      <c r="Z104" s="48">
        <f t="shared" si="242"/>
        <v>0</v>
      </c>
      <c r="AA104" s="48">
        <f t="shared" si="242"/>
        <v>0</v>
      </c>
      <c r="AB104" s="51">
        <f t="shared" ref="AB104:AB109" si="243">SUM(U104:AA104)</f>
        <v>3</v>
      </c>
      <c r="AC104" s="47"/>
      <c r="AD104" s="48">
        <f>IF(AD105&gt;=1,1,0)</f>
        <v>1</v>
      </c>
      <c r="AE104" s="48">
        <f t="shared" ref="AE104:AJ104" si="244">IF(AE105&gt;=1,1,0)</f>
        <v>1</v>
      </c>
      <c r="AF104" s="48">
        <f t="shared" si="244"/>
        <v>1</v>
      </c>
      <c r="AG104" s="48">
        <f t="shared" si="244"/>
        <v>1</v>
      </c>
      <c r="AH104" s="48">
        <f t="shared" si="244"/>
        <v>1</v>
      </c>
      <c r="AI104" s="48">
        <f t="shared" si="244"/>
        <v>0</v>
      </c>
      <c r="AJ104" s="48">
        <f t="shared" si="244"/>
        <v>0</v>
      </c>
      <c r="AK104" s="51">
        <f t="shared" ref="AK104:AK109" si="245">SUM(AD104:AJ104)</f>
        <v>5</v>
      </c>
      <c r="AL104" s="47"/>
      <c r="AM104" s="48">
        <f>IF(AM105&gt;=1,1,0)</f>
        <v>1</v>
      </c>
      <c r="AN104" s="48">
        <f t="shared" ref="AN104:AS104" si="246">IF(AN105&gt;=1,1,0)</f>
        <v>1</v>
      </c>
      <c r="AO104" s="48">
        <f t="shared" si="246"/>
        <v>1</v>
      </c>
      <c r="AP104" s="48">
        <f t="shared" si="246"/>
        <v>0</v>
      </c>
      <c r="AQ104" s="48">
        <f t="shared" si="246"/>
        <v>0</v>
      </c>
      <c r="AR104" s="48">
        <f t="shared" si="246"/>
        <v>0</v>
      </c>
      <c r="AS104" s="48">
        <f t="shared" si="246"/>
        <v>0</v>
      </c>
      <c r="AT104" s="51">
        <f t="shared" ref="AT104:AT109" si="247">SUM(AM104:AS104)</f>
        <v>3</v>
      </c>
      <c r="AU104" s="47"/>
      <c r="AV104" s="48">
        <f>IF(AV105&gt;=1,1,0)</f>
        <v>0</v>
      </c>
      <c r="AW104" s="48">
        <f t="shared" ref="AW104" si="248">IF(AW105&gt;=1,1,0)</f>
        <v>0</v>
      </c>
      <c r="AX104" s="51">
        <f>SUM(AV104:AW104)</f>
        <v>0</v>
      </c>
      <c r="AY104" s="48">
        <f t="shared" ref="AY104:AY113" si="249">J104+S104+AB104+AK104+AT104+AX104</f>
        <v>16</v>
      </c>
      <c r="AZ104" s="39"/>
      <c r="BA104" s="39"/>
      <c r="BB104" s="39"/>
      <c r="BC104" s="39"/>
      <c r="BD104" s="39"/>
      <c r="BE104" s="39"/>
      <c r="BF104" s="29"/>
    </row>
    <row r="105" spans="1:59" s="27" customFormat="1" ht="15" customHeight="1">
      <c r="A105" s="50" t="s">
        <v>3</v>
      </c>
      <c r="B105" s="50"/>
      <c r="C105" s="51">
        <f>IF(C102="Matin",8,IF(C102="AM",8,IF(C102="nuit",8,0)))</f>
        <v>0</v>
      </c>
      <c r="D105" s="51">
        <f t="shared" ref="D105:I105" si="250">IF(D102="Matin",8,IF(D102="AM",8,IF(D102="nuit",8,0)))</f>
        <v>0</v>
      </c>
      <c r="E105" s="51">
        <f t="shared" si="250"/>
        <v>0</v>
      </c>
      <c r="F105" s="51">
        <f t="shared" si="250"/>
        <v>0</v>
      </c>
      <c r="G105" s="51">
        <f t="shared" si="250"/>
        <v>0</v>
      </c>
      <c r="H105" s="51">
        <f t="shared" si="250"/>
        <v>0</v>
      </c>
      <c r="I105" s="51">
        <f t="shared" si="250"/>
        <v>0</v>
      </c>
      <c r="J105" s="51">
        <f t="shared" si="239"/>
        <v>0</v>
      </c>
      <c r="K105" s="50"/>
      <c r="L105" s="51">
        <f>IF(L102="Matin",8,IF(L102="AM",8,IF(L102="nuit",8,0)))</f>
        <v>8</v>
      </c>
      <c r="M105" s="51">
        <f t="shared" ref="M105:R105" si="251">IF(M102="Matin",8,IF(M102="AM",8,IF(M102="nuit",8,0)))</f>
        <v>8</v>
      </c>
      <c r="N105" s="51">
        <f t="shared" si="251"/>
        <v>8</v>
      </c>
      <c r="O105" s="51">
        <f t="shared" si="251"/>
        <v>8</v>
      </c>
      <c r="P105" s="51">
        <f t="shared" si="251"/>
        <v>8</v>
      </c>
      <c r="Q105" s="51">
        <f t="shared" si="251"/>
        <v>0</v>
      </c>
      <c r="R105" s="51">
        <f t="shared" si="251"/>
        <v>0</v>
      </c>
      <c r="S105" s="51">
        <f t="shared" si="241"/>
        <v>40</v>
      </c>
      <c r="T105" s="50"/>
      <c r="U105" s="51">
        <f>IF(U102="Matin",8,IF(U102="AM",8,IF(U102="nuit",8,0)))</f>
        <v>8</v>
      </c>
      <c r="V105" s="51">
        <f t="shared" ref="V105:AA105" si="252">IF(V102="Matin",8,IF(V102="AM",8,IF(V102="nuit",8,0)))</f>
        <v>0</v>
      </c>
      <c r="W105" s="51">
        <f t="shared" si="252"/>
        <v>0</v>
      </c>
      <c r="X105" s="51">
        <f t="shared" si="252"/>
        <v>8</v>
      </c>
      <c r="Y105" s="51">
        <f t="shared" si="252"/>
        <v>8</v>
      </c>
      <c r="Z105" s="51">
        <f t="shared" si="252"/>
        <v>0</v>
      </c>
      <c r="AA105" s="51">
        <f t="shared" si="252"/>
        <v>0</v>
      </c>
      <c r="AB105" s="51">
        <f t="shared" si="243"/>
        <v>24</v>
      </c>
      <c r="AC105" s="50"/>
      <c r="AD105" s="51">
        <f>IF(AD102="Matin",8,IF(AD102="AM",8,IF(AD102="nuit",8,0)))</f>
        <v>8</v>
      </c>
      <c r="AE105" s="51">
        <f t="shared" ref="AE105:AJ105" si="253">IF(AE102="Matin",8,IF(AE102="AM",8,IF(AE102="nuit",8,0)))</f>
        <v>8</v>
      </c>
      <c r="AF105" s="51">
        <f t="shared" si="253"/>
        <v>8</v>
      </c>
      <c r="AG105" s="51">
        <f t="shared" si="253"/>
        <v>8</v>
      </c>
      <c r="AH105" s="51">
        <f t="shared" si="253"/>
        <v>8</v>
      </c>
      <c r="AI105" s="51">
        <f t="shared" si="253"/>
        <v>0</v>
      </c>
      <c r="AJ105" s="51">
        <f t="shared" si="253"/>
        <v>0</v>
      </c>
      <c r="AK105" s="51">
        <f t="shared" si="245"/>
        <v>40</v>
      </c>
      <c r="AL105" s="50"/>
      <c r="AM105" s="51">
        <f>IF(AM102="Matin",8,IF(AM102="AM",8,IF(AM102="nuit",8,0)))</f>
        <v>8</v>
      </c>
      <c r="AN105" s="51">
        <f t="shared" ref="AN105:AS105" si="254">IF(AN102="Matin",8,IF(AN102="AM",8,IF(AN102="nuit",8,0)))</f>
        <v>8</v>
      </c>
      <c r="AO105" s="51">
        <f t="shared" si="254"/>
        <v>8</v>
      </c>
      <c r="AP105" s="51">
        <f t="shared" si="254"/>
        <v>0</v>
      </c>
      <c r="AQ105" s="51">
        <f t="shared" si="254"/>
        <v>0</v>
      </c>
      <c r="AR105" s="51">
        <f t="shared" si="254"/>
        <v>0</v>
      </c>
      <c r="AS105" s="51">
        <f t="shared" si="254"/>
        <v>0</v>
      </c>
      <c r="AT105" s="51">
        <f t="shared" si="247"/>
        <v>24</v>
      </c>
      <c r="AU105" s="50"/>
      <c r="AV105" s="51">
        <f>IF(AV102="Matin",8,IF(AV102="AM",8,IF(AV102="nuit",8,0)))</f>
        <v>0</v>
      </c>
      <c r="AW105" s="51">
        <f t="shared" ref="AW105" si="255">IF(AW102="Matin",8,IF(AW102="AM",8,IF(AW102="nuit",8,0)))</f>
        <v>0</v>
      </c>
      <c r="AX105" s="51">
        <f>SUM(AV105:AW105)</f>
        <v>0</v>
      </c>
      <c r="AY105" s="51">
        <f t="shared" si="249"/>
        <v>128</v>
      </c>
      <c r="AZ105" s="25"/>
      <c r="BA105" s="25"/>
      <c r="BB105" s="25"/>
      <c r="BC105" s="25"/>
      <c r="BD105" s="25"/>
      <c r="BE105" s="25"/>
      <c r="BF105" s="25"/>
      <c r="BG105" s="28"/>
    </row>
    <row r="106" spans="1:59" s="5" customFormat="1" ht="15" customHeight="1">
      <c r="A106" s="47" t="s">
        <v>13</v>
      </c>
      <c r="B106" s="47"/>
      <c r="C106" s="48"/>
      <c r="D106" s="48"/>
      <c r="E106" s="48"/>
      <c r="F106" s="48"/>
      <c r="G106" s="48"/>
      <c r="H106" s="48"/>
      <c r="I106" s="48"/>
      <c r="J106" s="51">
        <f>MAX(MIN(DATA!$D$22-DATA!$C$22,Travail!J105-Travail!J102-I105),0)</f>
        <v>0</v>
      </c>
      <c r="K106" s="47"/>
      <c r="L106" s="48"/>
      <c r="M106" s="48"/>
      <c r="N106" s="48"/>
      <c r="O106" s="48"/>
      <c r="P106" s="48"/>
      <c r="Q106" s="48"/>
      <c r="R106" s="48"/>
      <c r="S106" s="51">
        <f>MAX(MIN(DATA!$D$22-DATA!$C$22,Travail!S105-Travail!S102-R105),0)</f>
        <v>0</v>
      </c>
      <c r="T106" s="47"/>
      <c r="U106" s="48"/>
      <c r="V106" s="48"/>
      <c r="W106" s="48"/>
      <c r="X106" s="48"/>
      <c r="Y106" s="48"/>
      <c r="Z106" s="48"/>
      <c r="AA106" s="48"/>
      <c r="AB106" s="51">
        <f>MAX(MIN(DATA!$D$22-DATA!$C$22,Travail!AB105-Travail!AB102-AA105),0)</f>
        <v>0</v>
      </c>
      <c r="AC106" s="47"/>
      <c r="AD106" s="48"/>
      <c r="AE106" s="48"/>
      <c r="AF106" s="48"/>
      <c r="AG106" s="48"/>
      <c r="AH106" s="48"/>
      <c r="AI106" s="48"/>
      <c r="AJ106" s="48"/>
      <c r="AK106" s="51">
        <f>MAX(MIN(DATA!$D$22-DATA!$C$22,Travail!AK105-Travail!AK102-AJ105),0)</f>
        <v>0</v>
      </c>
      <c r="AL106" s="47"/>
      <c r="AM106" s="48"/>
      <c r="AN106" s="48"/>
      <c r="AO106" s="48"/>
      <c r="AP106" s="48"/>
      <c r="AQ106" s="48"/>
      <c r="AR106" s="48"/>
      <c r="AS106" s="48"/>
      <c r="AT106" s="51">
        <f>MAX(MIN(DATA!$D$22-DATA!$C$22,Travail!AT105-Travail!AT102-AS105),0)</f>
        <v>0</v>
      </c>
      <c r="AU106" s="47"/>
      <c r="AV106" s="48"/>
      <c r="AW106" s="48"/>
      <c r="AX106" s="51">
        <f>MAX(MIN(DATA!$D$22-DATA!$C$22,Travail!AX105-Travail!AX102),0)</f>
        <v>0</v>
      </c>
      <c r="AY106" s="49">
        <f t="shared" si="249"/>
        <v>0</v>
      </c>
      <c r="AZ106" s="39"/>
      <c r="BA106" s="39"/>
      <c r="BB106" s="39"/>
      <c r="BC106" s="39"/>
      <c r="BD106" s="39"/>
      <c r="BE106" s="39"/>
      <c r="BF106" s="29"/>
    </row>
    <row r="107" spans="1:59" s="27" customFormat="1" ht="15" customHeight="1">
      <c r="A107" s="50" t="s">
        <v>6</v>
      </c>
      <c r="B107" s="50"/>
      <c r="C107" s="51"/>
      <c r="D107" s="51"/>
      <c r="E107" s="51"/>
      <c r="F107" s="51"/>
      <c r="G107" s="51"/>
      <c r="H107" s="51"/>
      <c r="I107" s="51"/>
      <c r="J107" s="51">
        <f>MAX(MIN(DATA!$E$22-DATA!$D$22,Travail!J105-Travail!J102-Travail!J106-I105),0)</f>
        <v>0</v>
      </c>
      <c r="K107" s="50"/>
      <c r="L107" s="51"/>
      <c r="M107" s="51"/>
      <c r="N107" s="51"/>
      <c r="O107" s="51"/>
      <c r="P107" s="51"/>
      <c r="Q107" s="51"/>
      <c r="R107" s="51"/>
      <c r="S107" s="51">
        <f>MAX(MIN(DATA!$E$22-DATA!$D$22,Travail!S105-Travail!S102-Travail!S106-R105),0)</f>
        <v>0</v>
      </c>
      <c r="T107" s="50"/>
      <c r="U107" s="51"/>
      <c r="V107" s="51"/>
      <c r="W107" s="51"/>
      <c r="X107" s="51"/>
      <c r="Y107" s="51"/>
      <c r="Z107" s="51"/>
      <c r="AA107" s="51"/>
      <c r="AB107" s="51">
        <f>MAX(MIN(DATA!$E$22-DATA!$D$22,Travail!AB105-Travail!AB102-Travail!AB106-AA105),0)</f>
        <v>0</v>
      </c>
      <c r="AC107" s="50"/>
      <c r="AD107" s="51"/>
      <c r="AE107" s="51"/>
      <c r="AF107" s="51"/>
      <c r="AG107" s="51"/>
      <c r="AH107" s="51"/>
      <c r="AI107" s="51"/>
      <c r="AJ107" s="51"/>
      <c r="AK107" s="51">
        <f>MAX(MIN(DATA!$E$22-DATA!$D$22,Travail!AK105-Travail!AK102-Travail!AK106-AJ105),0)</f>
        <v>0</v>
      </c>
      <c r="AL107" s="50"/>
      <c r="AM107" s="51"/>
      <c r="AN107" s="51"/>
      <c r="AO107" s="51"/>
      <c r="AP107" s="51"/>
      <c r="AQ107" s="51"/>
      <c r="AR107" s="51"/>
      <c r="AS107" s="51"/>
      <c r="AT107" s="51">
        <f>MAX(MIN(DATA!$E$22-DATA!$D$22,Travail!AT105-Travail!AT102-Travail!AT106-AS105),0)</f>
        <v>0</v>
      </c>
      <c r="AU107" s="50"/>
      <c r="AV107" s="51"/>
      <c r="AW107" s="51"/>
      <c r="AX107" s="51">
        <f>MAX(MIN(DATA!$E$22-DATA!$D$22,Travail!AX105-Travail!AX102-Travail!AX106),0)</f>
        <v>0</v>
      </c>
      <c r="AY107" s="51">
        <f t="shared" si="249"/>
        <v>0</v>
      </c>
      <c r="AZ107" s="25"/>
      <c r="BA107" s="25"/>
      <c r="BB107" s="25"/>
      <c r="BC107" s="25"/>
      <c r="BD107" s="25"/>
      <c r="BE107" s="25"/>
      <c r="BF107" s="25"/>
      <c r="BG107" s="28"/>
    </row>
    <row r="108" spans="1:59" s="5" customFormat="1" ht="15" customHeight="1">
      <c r="A108" s="47" t="s">
        <v>5</v>
      </c>
      <c r="B108" s="47"/>
      <c r="C108" s="48"/>
      <c r="D108" s="48"/>
      <c r="E108" s="48"/>
      <c r="F108" s="48"/>
      <c r="G108" s="48"/>
      <c r="H108" s="48"/>
      <c r="I108" s="48"/>
      <c r="J108" s="51">
        <f>MAX(J105-J102-J107-J106-J109,0)</f>
        <v>0</v>
      </c>
      <c r="K108" s="47"/>
      <c r="L108" s="48"/>
      <c r="M108" s="48"/>
      <c r="N108" s="48"/>
      <c r="O108" s="48"/>
      <c r="P108" s="48"/>
      <c r="Q108" s="48"/>
      <c r="R108" s="48"/>
      <c r="S108" s="51">
        <f>MAX(S105-S102-S107-S106-S109,0)</f>
        <v>0</v>
      </c>
      <c r="T108" s="47"/>
      <c r="U108" s="48"/>
      <c r="V108" s="48"/>
      <c r="W108" s="48"/>
      <c r="X108" s="48"/>
      <c r="Y108" s="48"/>
      <c r="Z108" s="48"/>
      <c r="AA108" s="48"/>
      <c r="AB108" s="51">
        <f>MAX(AB105-AB102-AB107-AB106-AB109,0)</f>
        <v>0</v>
      </c>
      <c r="AC108" s="47"/>
      <c r="AD108" s="48"/>
      <c r="AE108" s="48"/>
      <c r="AF108" s="48"/>
      <c r="AG108" s="48"/>
      <c r="AH108" s="48"/>
      <c r="AI108" s="48"/>
      <c r="AJ108" s="48"/>
      <c r="AK108" s="51">
        <f>MAX(AK105-AK102-AK107-AK106-AK109,0)</f>
        <v>0</v>
      </c>
      <c r="AL108" s="47"/>
      <c r="AM108" s="48"/>
      <c r="AN108" s="48"/>
      <c r="AO108" s="48"/>
      <c r="AP108" s="48"/>
      <c r="AQ108" s="48"/>
      <c r="AR108" s="48"/>
      <c r="AS108" s="48"/>
      <c r="AT108" s="51">
        <f>MAX(AT105-AT102-AT107-AT106-AT109,0)</f>
        <v>0</v>
      </c>
      <c r="AU108" s="47"/>
      <c r="AV108" s="48"/>
      <c r="AW108" s="48"/>
      <c r="AX108" s="97">
        <f>MAX(AX105-AX102-AX107-AX106,0)</f>
        <v>0</v>
      </c>
      <c r="AY108" s="49">
        <f t="shared" si="249"/>
        <v>0</v>
      </c>
      <c r="AZ108" s="39"/>
      <c r="BA108" s="39"/>
      <c r="BB108" s="39"/>
      <c r="BC108" s="39"/>
      <c r="BD108" s="39"/>
      <c r="BE108" s="39"/>
      <c r="BF108" s="29"/>
    </row>
    <row r="109" spans="1:59" s="27" customFormat="1" ht="15" customHeight="1">
      <c r="A109" s="50" t="s">
        <v>7</v>
      </c>
      <c r="B109" s="50"/>
      <c r="C109" s="51">
        <f>IF(C100="Dim",C105,IF(C115="ferie",C105,0))</f>
        <v>0</v>
      </c>
      <c r="D109" s="51">
        <f t="shared" ref="D109:I109" si="256">IF(D100="Dim",D105,IF(D115="ferie",D105,0))</f>
        <v>0</v>
      </c>
      <c r="E109" s="51">
        <f t="shared" si="256"/>
        <v>0</v>
      </c>
      <c r="F109" s="51">
        <f t="shared" si="256"/>
        <v>0</v>
      </c>
      <c r="G109" s="51">
        <f t="shared" si="256"/>
        <v>0</v>
      </c>
      <c r="H109" s="51">
        <f t="shared" si="256"/>
        <v>0</v>
      </c>
      <c r="I109" s="51">
        <f t="shared" si="256"/>
        <v>0</v>
      </c>
      <c r="J109" s="51">
        <f t="shared" si="239"/>
        <v>0</v>
      </c>
      <c r="K109" s="50"/>
      <c r="L109" s="51">
        <f>IF(L100="Dim",L105,IF(L115="ferie",L105,0))</f>
        <v>0</v>
      </c>
      <c r="M109" s="51">
        <f t="shared" ref="M109:R109" si="257">IF(M100="Dim",M105,IF(M115="ferie",M105,0))</f>
        <v>0</v>
      </c>
      <c r="N109" s="51">
        <f t="shared" si="257"/>
        <v>0</v>
      </c>
      <c r="O109" s="51">
        <f t="shared" si="257"/>
        <v>0</v>
      </c>
      <c r="P109" s="51">
        <f t="shared" si="257"/>
        <v>0</v>
      </c>
      <c r="Q109" s="51">
        <f>IF(Q100="Dim",Q105,IF(Q115="ferie",Q105,0))</f>
        <v>0</v>
      </c>
      <c r="R109" s="51">
        <f t="shared" si="257"/>
        <v>0</v>
      </c>
      <c r="S109" s="51">
        <f t="shared" si="241"/>
        <v>0</v>
      </c>
      <c r="T109" s="50"/>
      <c r="U109" s="51">
        <f>IF(U100="Dim",U105,IF(U115="ferie",U105,0))</f>
        <v>0</v>
      </c>
      <c r="V109" s="51">
        <f t="shared" ref="V109:AA109" si="258">IF(V100="Dim",V105,IF(V115="ferie",V105,0))</f>
        <v>0</v>
      </c>
      <c r="W109" s="51">
        <f t="shared" si="258"/>
        <v>0</v>
      </c>
      <c r="X109" s="51">
        <f t="shared" si="258"/>
        <v>0</v>
      </c>
      <c r="Y109" s="51">
        <f t="shared" si="258"/>
        <v>0</v>
      </c>
      <c r="Z109" s="51">
        <f t="shared" si="258"/>
        <v>0</v>
      </c>
      <c r="AA109" s="51">
        <f t="shared" si="258"/>
        <v>0</v>
      </c>
      <c r="AB109" s="51">
        <f t="shared" si="243"/>
        <v>0</v>
      </c>
      <c r="AC109" s="50"/>
      <c r="AD109" s="51">
        <f>IF(AD100="Dim",AD105,IF(AD115="ferie",AD105,0))</f>
        <v>0</v>
      </c>
      <c r="AE109" s="51">
        <f t="shared" ref="AE109:AJ109" si="259">IF(AE100="Dim",AE105,IF(AE115="ferie",AE105,0))</f>
        <v>0</v>
      </c>
      <c r="AF109" s="51">
        <f t="shared" si="259"/>
        <v>0</v>
      </c>
      <c r="AG109" s="51">
        <f t="shared" si="259"/>
        <v>0</v>
      </c>
      <c r="AH109" s="51">
        <f t="shared" si="259"/>
        <v>0</v>
      </c>
      <c r="AI109" s="51">
        <f t="shared" si="259"/>
        <v>0</v>
      </c>
      <c r="AJ109" s="51">
        <f t="shared" si="259"/>
        <v>0</v>
      </c>
      <c r="AK109" s="51">
        <f t="shared" si="245"/>
        <v>0</v>
      </c>
      <c r="AL109" s="50"/>
      <c r="AM109" s="51">
        <f>IF(AM100="Dim",AM105,IF(AM115="ferie",AM105,0))</f>
        <v>0</v>
      </c>
      <c r="AN109" s="51">
        <f t="shared" ref="AN109:AW109" si="260">IF(AN100="Dim",AN105,IF(AN115="ferie",AN105,0))</f>
        <v>0</v>
      </c>
      <c r="AO109" s="51">
        <f t="shared" si="260"/>
        <v>0</v>
      </c>
      <c r="AP109" s="51">
        <f t="shared" si="260"/>
        <v>0</v>
      </c>
      <c r="AQ109" s="51">
        <f t="shared" si="260"/>
        <v>0</v>
      </c>
      <c r="AR109" s="51">
        <f t="shared" si="260"/>
        <v>0</v>
      </c>
      <c r="AS109" s="51">
        <f t="shared" si="260"/>
        <v>0</v>
      </c>
      <c r="AT109" s="51">
        <f t="shared" si="247"/>
        <v>0</v>
      </c>
      <c r="AU109" s="50"/>
      <c r="AV109" s="51">
        <f>IF(AV100="Dim",AV105,IF(AV115="ferie",AV105,0))</f>
        <v>0</v>
      </c>
      <c r="AW109" s="51">
        <f t="shared" si="260"/>
        <v>0</v>
      </c>
      <c r="AX109" s="51">
        <f t="shared" ref="AX109:AX114" si="261">SUM(AV109:AW109)</f>
        <v>0</v>
      </c>
      <c r="AY109" s="51">
        <f t="shared" si="249"/>
        <v>0</v>
      </c>
      <c r="AZ109" s="25"/>
      <c r="BA109" s="25"/>
      <c r="BB109" s="25"/>
      <c r="BC109" s="25"/>
      <c r="BD109" s="25"/>
      <c r="BE109" s="25"/>
      <c r="BF109" s="25"/>
      <c r="BG109" s="28"/>
    </row>
    <row r="110" spans="1:59" s="27" customFormat="1" ht="15" customHeight="1">
      <c r="A110" s="47" t="s">
        <v>8</v>
      </c>
      <c r="B110" s="47"/>
      <c r="C110" s="48"/>
      <c r="D110" s="48"/>
      <c r="E110" s="48"/>
      <c r="F110" s="48"/>
      <c r="G110" s="48"/>
      <c r="H110" s="48"/>
      <c r="I110" s="48"/>
      <c r="J110" s="51">
        <f t="shared" ref="J110:J114" si="262">SUM(C110:I110)</f>
        <v>0</v>
      </c>
      <c r="K110" s="47"/>
      <c r="L110" s="48"/>
      <c r="M110" s="48"/>
      <c r="N110" s="48"/>
      <c r="O110" s="48"/>
      <c r="P110" s="48"/>
      <c r="Q110" s="48"/>
      <c r="R110" s="48"/>
      <c r="S110" s="51">
        <f t="shared" ref="S110:S114" si="263">SUM(L110:R110)</f>
        <v>0</v>
      </c>
      <c r="T110" s="47"/>
      <c r="U110" s="48"/>
      <c r="V110" s="48"/>
      <c r="W110" s="48"/>
      <c r="X110" s="48"/>
      <c r="Y110" s="48"/>
      <c r="Z110" s="48"/>
      <c r="AA110" s="48"/>
      <c r="AB110" s="51">
        <f t="shared" ref="AB110:AB114" si="264">SUM(U110:AA110)</f>
        <v>0</v>
      </c>
      <c r="AC110" s="47"/>
      <c r="AD110" s="48"/>
      <c r="AE110" s="48"/>
      <c r="AF110" s="48"/>
      <c r="AG110" s="48"/>
      <c r="AH110" s="48"/>
      <c r="AI110" s="48"/>
      <c r="AJ110" s="48"/>
      <c r="AK110" s="51">
        <f t="shared" ref="AK110:AK114" si="265">SUM(AD110:AJ110)</f>
        <v>0</v>
      </c>
      <c r="AL110" s="47"/>
      <c r="AM110" s="48"/>
      <c r="AN110" s="48"/>
      <c r="AO110" s="48"/>
      <c r="AP110" s="48"/>
      <c r="AQ110" s="48"/>
      <c r="AR110" s="48"/>
      <c r="AS110" s="48"/>
      <c r="AT110" s="51">
        <f t="shared" ref="AT110:AT114" si="266">SUM(AM110:AS110)</f>
        <v>0</v>
      </c>
      <c r="AU110" s="47"/>
      <c r="AV110" s="48"/>
      <c r="AW110" s="48"/>
      <c r="AX110" s="51">
        <f>SUM(AV110:AW110)</f>
        <v>0</v>
      </c>
      <c r="AY110" s="48">
        <f t="shared" si="249"/>
        <v>0</v>
      </c>
      <c r="AZ110" s="39"/>
      <c r="BA110" s="39"/>
      <c r="BB110" s="39"/>
      <c r="BC110" s="39"/>
      <c r="BD110" s="39"/>
      <c r="BE110" s="39"/>
      <c r="BF110" s="29"/>
    </row>
    <row r="111" spans="1:59" s="27" customFormat="1" ht="15" customHeight="1">
      <c r="A111" s="50" t="s">
        <v>9</v>
      </c>
      <c r="B111" s="50"/>
      <c r="C111" s="51"/>
      <c r="D111" s="51"/>
      <c r="E111" s="51"/>
      <c r="F111" s="51"/>
      <c r="G111" s="51"/>
      <c r="H111" s="51"/>
      <c r="I111" s="51"/>
      <c r="J111" s="51">
        <f t="shared" si="262"/>
        <v>0</v>
      </c>
      <c r="K111" s="50"/>
      <c r="L111" s="51"/>
      <c r="M111" s="51"/>
      <c r="N111" s="51"/>
      <c r="O111" s="51"/>
      <c r="P111" s="51"/>
      <c r="Q111" s="51"/>
      <c r="R111" s="51"/>
      <c r="S111" s="51">
        <f t="shared" si="263"/>
        <v>0</v>
      </c>
      <c r="T111" s="50"/>
      <c r="U111" s="51"/>
      <c r="V111" s="51"/>
      <c r="W111" s="51"/>
      <c r="X111" s="51"/>
      <c r="Y111" s="51"/>
      <c r="Z111" s="51"/>
      <c r="AA111" s="51"/>
      <c r="AB111" s="51">
        <f t="shared" si="264"/>
        <v>0</v>
      </c>
      <c r="AC111" s="50"/>
      <c r="AD111" s="51"/>
      <c r="AE111" s="51"/>
      <c r="AF111" s="51"/>
      <c r="AG111" s="51"/>
      <c r="AH111" s="51"/>
      <c r="AI111" s="51"/>
      <c r="AJ111" s="51"/>
      <c r="AK111" s="51">
        <f t="shared" si="265"/>
        <v>0</v>
      </c>
      <c r="AL111" s="50"/>
      <c r="AM111" s="51"/>
      <c r="AN111" s="51"/>
      <c r="AO111" s="51"/>
      <c r="AP111" s="51"/>
      <c r="AQ111" s="51"/>
      <c r="AR111" s="51"/>
      <c r="AS111" s="51"/>
      <c r="AT111" s="51">
        <f t="shared" si="266"/>
        <v>0</v>
      </c>
      <c r="AU111" s="50"/>
      <c r="AV111" s="51"/>
      <c r="AW111" s="51"/>
      <c r="AX111" s="51">
        <f t="shared" si="261"/>
        <v>0</v>
      </c>
      <c r="AY111" s="51">
        <f t="shared" si="249"/>
        <v>0</v>
      </c>
      <c r="AZ111" s="25"/>
      <c r="BA111" s="25"/>
      <c r="BB111" s="25"/>
      <c r="BC111" s="25"/>
      <c r="BD111" s="25"/>
      <c r="BE111" s="25"/>
      <c r="BF111" s="25"/>
      <c r="BG111" s="28"/>
    </row>
    <row r="112" spans="1:59" s="5" customFormat="1" ht="15" customHeight="1">
      <c r="A112" s="47" t="s">
        <v>11</v>
      </c>
      <c r="B112" s="47"/>
      <c r="C112" s="48"/>
      <c r="D112" s="48"/>
      <c r="E112" s="48"/>
      <c r="F112" s="48"/>
      <c r="G112" s="48"/>
      <c r="H112" s="48"/>
      <c r="I112" s="48"/>
      <c r="J112" s="51">
        <f t="shared" si="262"/>
        <v>0</v>
      </c>
      <c r="K112" s="47"/>
      <c r="L112" s="48"/>
      <c r="M112" s="48"/>
      <c r="N112" s="48"/>
      <c r="O112" s="48"/>
      <c r="P112" s="48"/>
      <c r="Q112" s="48"/>
      <c r="R112" s="48"/>
      <c r="S112" s="51">
        <f t="shared" si="263"/>
        <v>0</v>
      </c>
      <c r="T112" s="47"/>
      <c r="U112" s="48"/>
      <c r="V112" s="48"/>
      <c r="W112" s="48"/>
      <c r="X112" s="48"/>
      <c r="Y112" s="48"/>
      <c r="Z112" s="48"/>
      <c r="AA112" s="48"/>
      <c r="AB112" s="51">
        <f t="shared" si="264"/>
        <v>0</v>
      </c>
      <c r="AC112" s="47"/>
      <c r="AD112" s="48"/>
      <c r="AE112" s="48"/>
      <c r="AF112" s="48"/>
      <c r="AG112" s="48"/>
      <c r="AH112" s="48"/>
      <c r="AI112" s="48"/>
      <c r="AJ112" s="48"/>
      <c r="AK112" s="51">
        <f t="shared" si="265"/>
        <v>0</v>
      </c>
      <c r="AL112" s="47"/>
      <c r="AM112" s="48"/>
      <c r="AN112" s="48"/>
      <c r="AO112" s="48"/>
      <c r="AP112" s="48"/>
      <c r="AQ112" s="48"/>
      <c r="AR112" s="48"/>
      <c r="AS112" s="48"/>
      <c r="AT112" s="51">
        <f t="shared" si="266"/>
        <v>0</v>
      </c>
      <c r="AU112" s="47"/>
      <c r="AV112" s="48"/>
      <c r="AW112" s="48"/>
      <c r="AX112" s="51">
        <f t="shared" si="261"/>
        <v>0</v>
      </c>
      <c r="AY112" s="49">
        <f t="shared" si="249"/>
        <v>0</v>
      </c>
      <c r="AZ112" s="39"/>
      <c r="BA112" s="39"/>
      <c r="BB112" s="39"/>
      <c r="BC112" s="39"/>
      <c r="BD112" s="39"/>
      <c r="BE112" s="39"/>
      <c r="BF112" s="29"/>
    </row>
    <row r="113" spans="1:59" s="27" customFormat="1" ht="15" customHeight="1">
      <c r="A113" s="50" t="s">
        <v>10</v>
      </c>
      <c r="B113" s="50"/>
      <c r="C113" s="51"/>
      <c r="D113" s="51"/>
      <c r="E113" s="51"/>
      <c r="F113" s="51"/>
      <c r="G113" s="51"/>
      <c r="H113" s="51"/>
      <c r="I113" s="51"/>
      <c r="J113" s="51">
        <f t="shared" si="262"/>
        <v>0</v>
      </c>
      <c r="K113" s="50"/>
      <c r="L113" s="51"/>
      <c r="M113" s="51"/>
      <c r="N113" s="51"/>
      <c r="O113" s="51"/>
      <c r="P113" s="51"/>
      <c r="Q113" s="51"/>
      <c r="R113" s="51"/>
      <c r="S113" s="51">
        <f t="shared" si="263"/>
        <v>0</v>
      </c>
      <c r="T113" s="50"/>
      <c r="U113" s="51"/>
      <c r="V113" s="51"/>
      <c r="W113" s="51"/>
      <c r="X113" s="51"/>
      <c r="Y113" s="51"/>
      <c r="Z113" s="51"/>
      <c r="AA113" s="51"/>
      <c r="AB113" s="51">
        <f t="shared" si="264"/>
        <v>0</v>
      </c>
      <c r="AC113" s="50"/>
      <c r="AD113" s="51"/>
      <c r="AE113" s="51"/>
      <c r="AF113" s="51"/>
      <c r="AG113" s="51"/>
      <c r="AH113" s="51"/>
      <c r="AI113" s="51"/>
      <c r="AJ113" s="51"/>
      <c r="AK113" s="51">
        <f t="shared" si="265"/>
        <v>0</v>
      </c>
      <c r="AL113" s="50"/>
      <c r="AM113" s="51"/>
      <c r="AN113" s="51"/>
      <c r="AO113" s="51"/>
      <c r="AP113" s="51"/>
      <c r="AQ113" s="51"/>
      <c r="AR113" s="51"/>
      <c r="AS113" s="51"/>
      <c r="AT113" s="51">
        <f t="shared" si="266"/>
        <v>0</v>
      </c>
      <c r="AU113" s="50"/>
      <c r="AV113" s="51"/>
      <c r="AW113" s="51"/>
      <c r="AX113" s="51">
        <f t="shared" si="261"/>
        <v>0</v>
      </c>
      <c r="AY113" s="51">
        <f t="shared" si="249"/>
        <v>0</v>
      </c>
      <c r="AZ113" s="25"/>
      <c r="BA113" s="25"/>
      <c r="BB113" s="25"/>
      <c r="BC113" s="25"/>
      <c r="BD113" s="25"/>
      <c r="BE113" s="25"/>
      <c r="BF113" s="25"/>
      <c r="BG113" s="28"/>
    </row>
    <row r="114" spans="1:59" s="5" customFormat="1" ht="15" customHeight="1">
      <c r="A114" s="47" t="s">
        <v>37</v>
      </c>
      <c r="B114" s="47"/>
      <c r="C114" s="48">
        <f>IF(C102="nuit",C105*0.02,0)</f>
        <v>0</v>
      </c>
      <c r="D114" s="48">
        <f>IF(D102="nuit",D105*0.02,0)</f>
        <v>0</v>
      </c>
      <c r="E114" s="48">
        <f t="shared" ref="E114:I114" si="267">IF(E102="nuit",E105*0.02,0)</f>
        <v>0</v>
      </c>
      <c r="F114" s="48">
        <f t="shared" si="267"/>
        <v>0</v>
      </c>
      <c r="G114" s="48">
        <f>IF(G102="nuit",G105*0.02,0)</f>
        <v>0</v>
      </c>
      <c r="H114" s="48">
        <f t="shared" si="267"/>
        <v>0</v>
      </c>
      <c r="I114" s="48">
        <f t="shared" si="267"/>
        <v>0</v>
      </c>
      <c r="J114" s="51">
        <f t="shared" si="262"/>
        <v>0</v>
      </c>
      <c r="K114" s="47"/>
      <c r="L114" s="48">
        <f>IF(L102="nuit",L105*0.02,0)</f>
        <v>0.16</v>
      </c>
      <c r="M114" s="48">
        <f>IF(M102="nuit",M105*0.02,0)</f>
        <v>0.16</v>
      </c>
      <c r="N114" s="48">
        <f t="shared" ref="N114:R114" si="268">IF(N102="nuit",N105*0.02,0)</f>
        <v>0.16</v>
      </c>
      <c r="O114" s="48">
        <f t="shared" si="268"/>
        <v>0.16</v>
      </c>
      <c r="P114" s="48">
        <f>IF(P102="nuit",P105*0.02,0)</f>
        <v>0.16</v>
      </c>
      <c r="Q114" s="48">
        <f t="shared" si="268"/>
        <v>0</v>
      </c>
      <c r="R114" s="48">
        <f t="shared" si="268"/>
        <v>0</v>
      </c>
      <c r="S114" s="51">
        <f t="shared" si="263"/>
        <v>0.8</v>
      </c>
      <c r="T114" s="47"/>
      <c r="U114" s="48">
        <f>IF(U102="nuit",U105*0.02,0)</f>
        <v>0</v>
      </c>
      <c r="V114" s="48">
        <f>IF(V102="nuit",V105*0.02,0)</f>
        <v>0</v>
      </c>
      <c r="W114" s="48">
        <f t="shared" ref="W114:AA114" si="269">IF(W102="nuit",W105*0.02,0)</f>
        <v>0</v>
      </c>
      <c r="X114" s="48">
        <f t="shared" si="269"/>
        <v>0</v>
      </c>
      <c r="Y114" s="48">
        <f>IF(Y102="nuit",Y105*0.02,0)</f>
        <v>0</v>
      </c>
      <c r="Z114" s="48">
        <f t="shared" si="269"/>
        <v>0</v>
      </c>
      <c r="AA114" s="48">
        <f t="shared" si="269"/>
        <v>0</v>
      </c>
      <c r="AB114" s="51">
        <f t="shared" si="264"/>
        <v>0</v>
      </c>
      <c r="AC114" s="47"/>
      <c r="AD114" s="48">
        <f>IF(AD102="nuit",AD105*0.02,0)</f>
        <v>0</v>
      </c>
      <c r="AE114" s="48">
        <f>IF(AE102="nuit",AE105*0.02,0)</f>
        <v>0</v>
      </c>
      <c r="AF114" s="48">
        <f t="shared" ref="AF114:AJ114" si="270">IF(AF102="nuit",AF105*0.02,0)</f>
        <v>0</v>
      </c>
      <c r="AG114" s="48">
        <f t="shared" si="270"/>
        <v>0</v>
      </c>
      <c r="AH114" s="48">
        <f>IF(AH102="nuit",AH105*0.02,0)</f>
        <v>0</v>
      </c>
      <c r="AI114" s="48">
        <f t="shared" si="270"/>
        <v>0</v>
      </c>
      <c r="AJ114" s="48">
        <f t="shared" si="270"/>
        <v>0</v>
      </c>
      <c r="AK114" s="51">
        <f t="shared" si="265"/>
        <v>0</v>
      </c>
      <c r="AL114" s="47"/>
      <c r="AM114" s="48">
        <f>IF(AM102="nuit",AM105*0.02,0)</f>
        <v>0</v>
      </c>
      <c r="AN114" s="48">
        <f>IF(AN102="nuit",AN105*0.02,0)</f>
        <v>0</v>
      </c>
      <c r="AO114" s="48">
        <f t="shared" ref="AO114:AS114" si="271">IF(AO102="nuit",AO105*0.02,0)</f>
        <v>0</v>
      </c>
      <c r="AP114" s="48">
        <f t="shared" si="271"/>
        <v>0</v>
      </c>
      <c r="AQ114" s="48">
        <f>IF(AQ102="nuit",AQ105*0.02,0)</f>
        <v>0</v>
      </c>
      <c r="AR114" s="48">
        <f t="shared" si="271"/>
        <v>0</v>
      </c>
      <c r="AS114" s="48">
        <f t="shared" si="271"/>
        <v>0</v>
      </c>
      <c r="AT114" s="51">
        <f t="shared" si="266"/>
        <v>0</v>
      </c>
      <c r="AU114" s="47"/>
      <c r="AV114" s="48">
        <f>IF(AV102="nuit",AV105*0.02,0)</f>
        <v>0</v>
      </c>
      <c r="AW114" s="48">
        <f>IF(AW102="nuit",AW105*0.02,0)</f>
        <v>0</v>
      </c>
      <c r="AX114" s="51">
        <f t="shared" si="261"/>
        <v>0</v>
      </c>
      <c r="AY114" s="49">
        <f>J114+S114+AB114+AK114+AT114+AX114</f>
        <v>0.8</v>
      </c>
      <c r="AZ114" s="39"/>
      <c r="BA114" s="39"/>
      <c r="BB114" s="39"/>
      <c r="BC114" s="39"/>
      <c r="BD114" s="39"/>
      <c r="BE114" s="39"/>
      <c r="BF114" s="29"/>
    </row>
    <row r="115" spans="1:59" s="27" customFormat="1" ht="15" customHeight="1">
      <c r="A115" s="50" t="s">
        <v>24</v>
      </c>
      <c r="B115" s="50"/>
      <c r="C115" s="51"/>
      <c r="D115" s="51"/>
      <c r="E115" s="51"/>
      <c r="F115" s="51"/>
      <c r="G115" s="51"/>
      <c r="H115" s="51"/>
      <c r="I115" s="51"/>
      <c r="J115" s="51"/>
      <c r="K115" s="50"/>
      <c r="L115" s="51"/>
      <c r="M115" s="51"/>
      <c r="N115" s="51"/>
      <c r="O115" s="51"/>
      <c r="P115" s="51"/>
      <c r="Q115" s="51"/>
      <c r="R115" s="51"/>
      <c r="S115" s="51"/>
      <c r="T115" s="50"/>
      <c r="U115" s="51"/>
      <c r="V115" s="51"/>
      <c r="W115" s="51"/>
      <c r="X115" s="51"/>
      <c r="Y115" s="51"/>
      <c r="Z115" s="51"/>
      <c r="AA115" s="51"/>
      <c r="AB115" s="51"/>
      <c r="AC115" s="50"/>
      <c r="AD115" s="51"/>
      <c r="AE115" s="51"/>
      <c r="AF115" s="51"/>
      <c r="AG115" s="51"/>
      <c r="AH115" s="51"/>
      <c r="AI115" s="51"/>
      <c r="AJ115" s="51"/>
      <c r="AK115" s="51"/>
      <c r="AL115" s="50"/>
      <c r="AM115" s="51"/>
      <c r="AN115" s="51"/>
      <c r="AO115" s="51"/>
      <c r="AP115" s="51"/>
      <c r="AQ115" s="51"/>
      <c r="AR115" s="51"/>
      <c r="AS115" s="51"/>
      <c r="AT115" s="51"/>
      <c r="AU115" s="50"/>
      <c r="AV115" s="51"/>
      <c r="AW115" s="51"/>
      <c r="AX115" s="51"/>
      <c r="AY115" s="51"/>
      <c r="AZ115" s="25"/>
      <c r="BA115" s="25"/>
      <c r="BB115" s="25"/>
      <c r="BC115" s="25"/>
      <c r="BD115" s="25"/>
      <c r="BE115" s="25"/>
      <c r="BF115" s="25"/>
      <c r="BG115" s="28"/>
    </row>
    <row r="116" spans="1:59" s="99" customFormat="1" ht="15" customHeight="1">
      <c r="A116" s="104" t="s">
        <v>112</v>
      </c>
      <c r="B116" s="105"/>
      <c r="C116" s="106" t="str">
        <f>IF(C101="","",IFERROR(VLOOKUP(B100,[2]DATA!$A$12:$H$16,2,TRUE),0))</f>
        <v/>
      </c>
      <c r="D116" s="106" t="str">
        <f>IF(D101="","",IFERROR(VLOOKUP(B100,[2]DATA!$A$12:$H$16,3,TRUE),0))</f>
        <v/>
      </c>
      <c r="E116" s="106" t="str">
        <f>IF(E101="","",IFERROR(VLOOKUP(B100,[2]DATA!$A$12:$H$16,4,TRUE),0))</f>
        <v/>
      </c>
      <c r="F116" s="106" t="str">
        <f>IF(F101="","",IFERROR(VLOOKUP(B100,[2]DATA!$A$12:$H$16,5,TRUE),0))</f>
        <v/>
      </c>
      <c r="G116" s="106">
        <f>IF(G101="","",IFERROR(VLOOKUP(B100,[2]DATA!$A$12:$H$16,6,TRUE),0))</f>
        <v>0</v>
      </c>
      <c r="H116" s="106"/>
      <c r="I116" s="106"/>
      <c r="J116" s="106">
        <f>SUM(C116:G116)</f>
        <v>0</v>
      </c>
      <c r="K116" s="106"/>
      <c r="L116" s="106">
        <f>IF(L101="","",IFERROR(VLOOKUP(K100,[2]DATA!$A$12:$H$16,2,TRUE),0))</f>
        <v>1</v>
      </c>
      <c r="M116" s="106">
        <f>IF(M101="","",IFERROR(VLOOKUP(K100,[2]DATA!$A$12:$H$16,3,TRUE),0))</f>
        <v>1</v>
      </c>
      <c r="N116" s="106">
        <f>IF(N101="","",IFERROR(VLOOKUP(K100,[2]DATA!$A$12:$H$16,4,TRUE),0))</f>
        <v>1</v>
      </c>
      <c r="O116" s="106">
        <f>IF(O101="","",IFERROR(VLOOKUP(K100,[2]DATA!$A$12:$H$16,5,TRUE),0))</f>
        <v>1</v>
      </c>
      <c r="P116" s="106">
        <f>IF(P101="","",IFERROR(VLOOKUP(K100,[2]DATA!$A$12:$H$16,6,TRUE),0))</f>
        <v>1</v>
      </c>
      <c r="Q116" s="106"/>
      <c r="R116" s="106"/>
      <c r="S116" s="106">
        <f>SUM(L116:P116)</f>
        <v>5</v>
      </c>
      <c r="T116" s="106"/>
      <c r="U116" s="106">
        <f>IF(U101="","",IFERROR(VLOOKUP(T100,[2]DATA!$A$12:$H$16,2,TRUE),0))</f>
        <v>1</v>
      </c>
      <c r="V116" s="106">
        <f>IF(V101="","",IFERROR(VLOOKUP(T100,[2]DATA!$A$12:$H$16,3,TRUE),0))</f>
        <v>0</v>
      </c>
      <c r="W116" s="106">
        <f>IF(W101="","",IFERROR(VLOOKUP(T100,[2]DATA!$A$12:$H$16,4,TRUE),0))</f>
        <v>0</v>
      </c>
      <c r="X116" s="106">
        <f>IF(X101="","",IFERROR(VLOOKUP(T100,[2]DATA!$A$12:$H$16,5,TRUE),0))</f>
        <v>1</v>
      </c>
      <c r="Y116" s="106">
        <f>IF(Y101="","",IFERROR(VLOOKUP(T100,[2]DATA!$A$12:$H$16,6,TRUE),0))</f>
        <v>1</v>
      </c>
      <c r="Z116" s="106"/>
      <c r="AA116" s="106"/>
      <c r="AB116" s="106">
        <f>SUM(U116:Y116)</f>
        <v>3</v>
      </c>
      <c r="AC116" s="106"/>
      <c r="AD116" s="106">
        <f>IF(AD101="","",IFERROR(VLOOKUP(AC100,[2]DATA!$A$12:$H$16,2,TRUE),0))</f>
        <v>1</v>
      </c>
      <c r="AE116" s="106">
        <f>IF(AE101="","",IFERROR(VLOOKUP(AC100,[2]DATA!$A$12:$H$16,3,TRUE),0))</f>
        <v>1</v>
      </c>
      <c r="AF116" s="106">
        <f>IF(AF101="","",IFERROR(VLOOKUP(AC100,[2]DATA!$A$12:$H$16,4,TRUE),0))</f>
        <v>1</v>
      </c>
      <c r="AG116" s="106">
        <f>IF(AG101="","",IFERROR(VLOOKUP(AC100,[2]DATA!$A$12:$H$16,5,TRUE),0))</f>
        <v>1</v>
      </c>
      <c r="AH116" s="106">
        <f>IF(AH101="","",IFERROR(VLOOKUP(AC100,[2]DATA!$A$12:$H$16,6,TRUE),0))</f>
        <v>1</v>
      </c>
      <c r="AI116" s="106"/>
      <c r="AJ116" s="106"/>
      <c r="AK116" s="106">
        <f>SUM(AD116:AH116)</f>
        <v>5</v>
      </c>
      <c r="AL116" s="106"/>
      <c r="AM116" s="106">
        <f>IF(AM101="","",IFERROR(VLOOKUP(AL100,[2]DATA!$A$12:$H$16,2,TRUE),0))</f>
        <v>1</v>
      </c>
      <c r="AN116" s="106">
        <f>IF(AN101="","",IFERROR(VLOOKUP(AL100,[2]DATA!$A$12:$H$16,3,TRUE),0))</f>
        <v>1</v>
      </c>
      <c r="AO116" s="106">
        <f>IF(AO101="","",IFERROR(VLOOKUP(AL100,[2]DATA!$A$12:$H$16,4,TRUE),0))</f>
        <v>1</v>
      </c>
      <c r="AP116" s="106">
        <f>IF(AP101="","",IFERROR(VLOOKUP(AL100,[2]DATA!$A$12:$H$16,5,TRUE),0))</f>
        <v>0</v>
      </c>
      <c r="AQ116" s="106">
        <f>IF(AQ101="","",IFERROR(VLOOKUP(AL100,[2]DATA!$A$12:$H$16,6,TRUE),0))</f>
        <v>0</v>
      </c>
      <c r="AR116" s="106"/>
      <c r="AS116" s="106"/>
      <c r="AT116" s="106">
        <f>SUM(AM116:AQ116)</f>
        <v>3</v>
      </c>
      <c r="AU116" s="106"/>
      <c r="AV116" s="106" t="str">
        <f>IF(AV101="","",IFERROR(VLOOKUP(AU100,[2]DATA!$A$12:$H$16,2,TRUE),0))</f>
        <v/>
      </c>
      <c r="AW116" s="106" t="str">
        <f>IF(AW101="","",IFERROR(VLOOKUP(AU100,[2]DATA!$A$12:$H$16,3,TRUE),0))</f>
        <v/>
      </c>
      <c r="AX116" s="106">
        <f>SUM(AV116:AW116)</f>
        <v>0</v>
      </c>
      <c r="AY116" s="107"/>
      <c r="AZ116" s="34"/>
      <c r="BA116" s="34"/>
      <c r="BB116" s="34"/>
      <c r="BC116" s="34"/>
      <c r="BD116" s="34"/>
      <c r="BE116" s="34"/>
      <c r="BF116" s="98"/>
    </row>
    <row r="117" spans="1:59" s="99" customFormat="1" ht="15" customHeight="1">
      <c r="A117" s="108" t="s">
        <v>113</v>
      </c>
      <c r="B117" s="109"/>
      <c r="C117" s="53"/>
      <c r="D117" s="53"/>
      <c r="E117" s="53"/>
      <c r="F117" s="53"/>
      <c r="G117" s="53"/>
      <c r="H117" s="53"/>
      <c r="I117" s="53"/>
      <c r="J117" s="53">
        <f>J104-J116</f>
        <v>0</v>
      </c>
      <c r="K117" s="53"/>
      <c r="L117" s="53"/>
      <c r="M117" s="53"/>
      <c r="N117" s="53"/>
      <c r="O117" s="53"/>
      <c r="P117" s="53"/>
      <c r="Q117" s="53"/>
      <c r="R117" s="53"/>
      <c r="S117" s="53">
        <f>S104-S116</f>
        <v>0</v>
      </c>
      <c r="T117" s="53"/>
      <c r="U117" s="53"/>
      <c r="V117" s="53"/>
      <c r="W117" s="53"/>
      <c r="X117" s="53"/>
      <c r="Y117" s="53"/>
      <c r="Z117" s="53"/>
      <c r="AA117" s="53"/>
      <c r="AB117" s="53">
        <f>AB104-AB116</f>
        <v>0</v>
      </c>
      <c r="AC117" s="53"/>
      <c r="AD117" s="53"/>
      <c r="AE117" s="53"/>
      <c r="AF117" s="53"/>
      <c r="AG117" s="53"/>
      <c r="AH117" s="53"/>
      <c r="AI117" s="53"/>
      <c r="AJ117" s="53"/>
      <c r="AK117" s="53">
        <f>AK104-AK116</f>
        <v>0</v>
      </c>
      <c r="AL117" s="53"/>
      <c r="AM117" s="53"/>
      <c r="AN117" s="53"/>
      <c r="AO117" s="53"/>
      <c r="AP117" s="53"/>
      <c r="AQ117" s="53"/>
      <c r="AR117" s="53"/>
      <c r="AS117" s="53"/>
      <c r="AT117" s="53">
        <f>AT104-AT116</f>
        <v>0</v>
      </c>
      <c r="AU117" s="53"/>
      <c r="AV117" s="53"/>
      <c r="AW117" s="53"/>
      <c r="AX117" s="53">
        <f>AX104-AX116</f>
        <v>0</v>
      </c>
      <c r="AY117" s="110">
        <f>AT117+AK117+AB117+S117+J117</f>
        <v>0</v>
      </c>
      <c r="AZ117" s="34"/>
      <c r="BA117" s="34"/>
      <c r="BB117" s="34"/>
      <c r="BC117" s="34"/>
      <c r="BD117" s="34"/>
      <c r="BE117" s="34"/>
      <c r="BF117" s="98"/>
    </row>
    <row r="118" spans="1:59" ht="27">
      <c r="A118" s="16"/>
      <c r="B118" s="16"/>
      <c r="C118" s="101" t="s">
        <v>18</v>
      </c>
      <c r="D118" s="101"/>
      <c r="E118" s="101"/>
      <c r="F118" s="101"/>
      <c r="G118" s="101"/>
      <c r="H118" s="112">
        <f>Année_Calendaire</f>
        <v>2018</v>
      </c>
      <c r="I118" s="112"/>
      <c r="J118" s="94"/>
      <c r="K118" s="43"/>
      <c r="L118" s="102"/>
      <c r="M118" s="102"/>
      <c r="N118" s="102"/>
      <c r="O118" s="102"/>
      <c r="P118" s="102"/>
      <c r="Q118" s="102"/>
      <c r="R118" s="102"/>
      <c r="S118" s="36"/>
      <c r="T118" s="43"/>
      <c r="U118" s="101" t="s">
        <v>18</v>
      </c>
      <c r="V118" s="101"/>
      <c r="W118" s="101"/>
      <c r="X118" s="101"/>
      <c r="Y118" s="101"/>
      <c r="Z118" s="112">
        <f>Année_Calendaire</f>
        <v>2018</v>
      </c>
      <c r="AA118" s="112"/>
      <c r="AB118" s="36"/>
      <c r="AC118" s="43"/>
      <c r="AD118" s="102"/>
      <c r="AE118" s="102"/>
      <c r="AF118" s="102"/>
      <c r="AG118" s="102"/>
      <c r="AH118" s="102"/>
      <c r="AI118" s="102"/>
      <c r="AJ118" s="102"/>
      <c r="AK118" s="36"/>
      <c r="AL118" s="43"/>
      <c r="AM118" s="101" t="s">
        <v>18</v>
      </c>
      <c r="AN118" s="101"/>
      <c r="AO118" s="101"/>
      <c r="AP118" s="101"/>
      <c r="AQ118" s="101"/>
      <c r="AR118" s="112">
        <f>Année_Calendaire</f>
        <v>2018</v>
      </c>
      <c r="AS118" s="112"/>
      <c r="AT118" s="36"/>
      <c r="AU118" s="43"/>
      <c r="AV118" s="25"/>
      <c r="AW118" s="25"/>
      <c r="AX118" s="36"/>
    </row>
    <row r="119" spans="1:59" s="22" customFormat="1" ht="29.25" customHeight="1">
      <c r="A119" s="35"/>
      <c r="B119" s="54" t="str">
        <f>IF(C119="",AU100,LEFT(AU100)&amp;MOD(RIGHT(AU100),4)+1)</f>
        <v>c1</v>
      </c>
      <c r="C119" s="100" t="str">
        <f>IF(C120&lt;&gt;"","Lun","")</f>
        <v/>
      </c>
      <c r="D119" s="100" t="str">
        <f>IF(D120&lt;&gt;"","Mar","")</f>
        <v/>
      </c>
      <c r="E119" s="100" t="str">
        <f>IF(E120&lt;&gt;"","Mer","")</f>
        <v/>
      </c>
      <c r="F119" s="100" t="str">
        <f>IF(F120&lt;&gt;"","Jeu","")</f>
        <v/>
      </c>
      <c r="G119" s="100" t="str">
        <f>IF(G120&lt;&gt;"","Ven","")</f>
        <v/>
      </c>
      <c r="H119" s="100" t="str">
        <f>IF(H120&lt;&gt;"","Sam","")</f>
        <v/>
      </c>
      <c r="I119" s="100" t="str">
        <f>IF(I120&lt;&gt;"","Dim","")</f>
        <v>Dim</v>
      </c>
      <c r="J119" s="113" t="s">
        <v>25</v>
      </c>
      <c r="K119" s="54" t="str">
        <f>IF(L119="",LEFT(B119)&amp;MOD(RIGHT(B119),5),LEFT(B119)&amp;MOD(RIGHT(B119),4)+1)</f>
        <v>c2</v>
      </c>
      <c r="L119" s="100" t="str">
        <f>IF(L120&lt;&gt;"","Lun","")</f>
        <v>Lun</v>
      </c>
      <c r="M119" s="100" t="str">
        <f>IF(M120&lt;&gt;"","Mar","")</f>
        <v>Mar</v>
      </c>
      <c r="N119" s="100" t="str">
        <f>IF(N120&lt;&gt;"","Mer","")</f>
        <v>Mer</v>
      </c>
      <c r="O119" s="100" t="str">
        <f>IF(O120&lt;&gt;"","Jeu","")</f>
        <v>Jeu</v>
      </c>
      <c r="P119" s="100" t="str">
        <f>IF(P120&lt;&gt;"","Ven","")</f>
        <v>Ven</v>
      </c>
      <c r="Q119" s="100" t="str">
        <f>IF(Q120&lt;&gt;"","Sam","")</f>
        <v>Sam</v>
      </c>
      <c r="R119" s="100" t="str">
        <f>IF(R120&lt;&gt;"","Dim","")</f>
        <v>Dim</v>
      </c>
      <c r="S119" s="113" t="s">
        <v>25</v>
      </c>
      <c r="T119" s="54" t="str">
        <f>IF(U119="",LEFT(K119)&amp;MOD(RIGHT(K119),5),LEFT(K119)&amp;MOD(RIGHT(K119),4)+1)</f>
        <v>c3</v>
      </c>
      <c r="U119" s="100" t="str">
        <f>IF(U120&lt;&gt;"","Lun","")</f>
        <v>Lun</v>
      </c>
      <c r="V119" s="100" t="str">
        <f>IF(V120&lt;&gt;"","Mar","")</f>
        <v>Mar</v>
      </c>
      <c r="W119" s="100" t="str">
        <f>IF(W120&lt;&gt;"","Mer","")</f>
        <v>Mer</v>
      </c>
      <c r="X119" s="100" t="str">
        <f>IF(X120&lt;&gt;"","Jeu","")</f>
        <v>Jeu</v>
      </c>
      <c r="Y119" s="100" t="str">
        <f>IF(Y120&lt;&gt;"","Ven","")</f>
        <v>Ven</v>
      </c>
      <c r="Z119" s="100" t="str">
        <f>IF(Z120&lt;&gt;"","Sam","")</f>
        <v>Sam</v>
      </c>
      <c r="AA119" s="100" t="str">
        <f>IF(AA120&lt;&gt;"","Dim","")</f>
        <v>Dim</v>
      </c>
      <c r="AB119" s="113" t="s">
        <v>25</v>
      </c>
      <c r="AC119" s="54" t="str">
        <f>IF(AD119="",LEFT(T119)&amp;MOD(RIGHT(T119),5),LEFT(T119)&amp;MOD(RIGHT(T119),4)+1)</f>
        <v>c4</v>
      </c>
      <c r="AD119" s="100" t="str">
        <f>IF(AD120&lt;&gt;"","Lun","")</f>
        <v>Lun</v>
      </c>
      <c r="AE119" s="100" t="str">
        <f>IF(AE120&lt;&gt;"","Mar","")</f>
        <v>Mar</v>
      </c>
      <c r="AF119" s="100" t="str">
        <f>IF(AF120&lt;&gt;"","Mer","")</f>
        <v>Mer</v>
      </c>
      <c r="AG119" s="100" t="str">
        <f>IF(AG120&lt;&gt;"","Jeu","")</f>
        <v>Jeu</v>
      </c>
      <c r="AH119" s="100" t="str">
        <f>IF(AH120&lt;&gt;"","Ven","")</f>
        <v>Ven</v>
      </c>
      <c r="AI119" s="100" t="str">
        <f>IF(AI120&lt;&gt;"","Sam","")</f>
        <v>Sam</v>
      </c>
      <c r="AJ119" s="100" t="str">
        <f>IF(AJ120&lt;&gt;"","Dim","")</f>
        <v>Dim</v>
      </c>
      <c r="AK119" s="113" t="s">
        <v>25</v>
      </c>
      <c r="AL119" s="54" t="str">
        <f>IF(AM119="",LEFT(AC119)&amp;MOD(RIGHT(AC119),5),LEFT(AC119)&amp;MOD(RIGHT(AC119),4)+1)</f>
        <v>c1</v>
      </c>
      <c r="AM119" s="100" t="str">
        <f>IF(AM120&lt;&gt;"","Lun","")</f>
        <v>Lun</v>
      </c>
      <c r="AN119" s="100" t="str">
        <f>IF(AN120&lt;&gt;"","Mar","")</f>
        <v>Mar</v>
      </c>
      <c r="AO119" s="100" t="str">
        <f>IF(AO120&lt;&gt;"","Mer","")</f>
        <v>Mer</v>
      </c>
      <c r="AP119" s="100" t="str">
        <f>IF(AP120&lt;&gt;"","Jeu","")</f>
        <v>Jeu</v>
      </c>
      <c r="AQ119" s="100" t="str">
        <f>IF(AQ120&lt;&gt;"","Ven","")</f>
        <v>Ven</v>
      </c>
      <c r="AR119" s="100" t="str">
        <f>IF(AR120&lt;&gt;"","Sam","")</f>
        <v>Sam</v>
      </c>
      <c r="AS119" s="100" t="str">
        <f>IF(AS120&lt;&gt;"","Dim","")</f>
        <v>Dim</v>
      </c>
      <c r="AT119" s="113" t="s">
        <v>25</v>
      </c>
      <c r="AU119" s="54" t="str">
        <f>IF(AV119="",LEFT(AL119)&amp;MOD(RIGHT(AL119),5),LEFT(AL119)&amp;MOD(RIGHT(AL119),4)+1)</f>
        <v>c2</v>
      </c>
      <c r="AV119" s="52" t="str">
        <f>IF(AV120&lt;&gt;"","Lun","")</f>
        <v>Lun</v>
      </c>
      <c r="AW119" s="52" t="str">
        <f>IF(AW120&lt;&gt;"","Mar","")</f>
        <v>Mar</v>
      </c>
      <c r="AX119" s="113" t="s">
        <v>25</v>
      </c>
      <c r="AY119" s="113" t="s">
        <v>28</v>
      </c>
      <c r="AZ119" s="114">
        <f>AY126+AY127+AY128</f>
        <v>0</v>
      </c>
      <c r="BA119" s="114">
        <f>AZ119+BA100</f>
        <v>0</v>
      </c>
      <c r="BB119" s="38"/>
      <c r="BC119" s="38"/>
      <c r="BD119" s="38"/>
      <c r="BE119" s="38"/>
      <c r="BF119" s="33"/>
    </row>
    <row r="120" spans="1:59" s="24" customFormat="1" ht="15" customHeight="1">
      <c r="A120" s="10"/>
      <c r="B120" s="53"/>
      <c r="C120" s="85" t="str">
        <f>IF(DAY(Juil_Dim1)=1,"",IF(AND(YEAR(Juil_Dim1+1)=Année_Calendaire,MONTH(Juil_Dim1+1)=7),Juil_Dim1+1,""))</f>
        <v/>
      </c>
      <c r="D120" s="85" t="str">
        <f>IF(DAY(Juil_Dim1)=1,"",IF(AND(YEAR(Juil_Dim1+2)=Année_Calendaire,MONTH(Juil_Dim1+2)=7),Juil_Dim1+2,""))</f>
        <v/>
      </c>
      <c r="E120" s="85" t="str">
        <f>IF(DAY(Juil_Dim1)=1,"",IF(AND(YEAR(Juil_Dim1+3)=Année_Calendaire,MONTH(Juil_Dim1+3)=7),Juil_Dim1+3,""))</f>
        <v/>
      </c>
      <c r="F120" s="85" t="str">
        <f>IF(DAY(Juil_Dim1)=1,"",IF(AND(YEAR(Juil_Dim1+4)=Année_Calendaire,MONTH(Juil_Dim1+4)=7),Juil_Dim1+4,""))</f>
        <v/>
      </c>
      <c r="G120" s="85" t="str">
        <f>IF(DAY(Juil_Dim1)=1,"",IF(AND(YEAR(Juil_Dim1+5)=Année_Calendaire,MONTH(Juil_Dim1+5)=7),Juil_Dim1+5,""))</f>
        <v/>
      </c>
      <c r="H120" s="85" t="str">
        <f>IF(DAY(Juil_Dim1)=1,"",IF(AND(YEAR(Juil_Dim1+6)=Année_Calendaire,MONTH(Juil_Dim1+6)=7),Juil_Dim1+6,""))</f>
        <v/>
      </c>
      <c r="I120" s="85">
        <f>IF(DAY(Juil_Dim1)=1,IF(AND(YEAR(Juil_Dim1)=Année_Calendaire,MONTH(Juil_Dim1)=7),Juil_Dim1,""),IF(AND(YEAR(Juil_Dim1+7)=Année_Calendaire,MONTH(Juil_Dim1+7)=7),Juil_Dim1+7,""))</f>
        <v>43282</v>
      </c>
      <c r="J120" s="113"/>
      <c r="K120" s="53"/>
      <c r="L120" s="85">
        <f>IF(DAY(Juil_Dim1)=1,IF(AND(YEAR(Juil_Dim1+1)=Année_Calendaire,MONTH(Juil_Dim1+1)=7),Juil_Dim1+1,""),IF(AND(YEAR(Juil_Dim1+8)=Année_Calendaire,MONTH(Juil_Dim1+8)=7),Juil_Dim1+8,""))</f>
        <v>43283</v>
      </c>
      <c r="M120" s="85">
        <f>IF(DAY(Juil_Dim1)=1,IF(AND(YEAR(Juil_Dim1+2)=Année_Calendaire,MONTH(Juil_Dim1+2)=7),Juil_Dim1+2,""),IF(AND(YEAR(Juil_Dim1+9)=Année_Calendaire,MONTH(Juil_Dim1+9)=7),Juil_Dim1+9,""))</f>
        <v>43284</v>
      </c>
      <c r="N120" s="85">
        <f>IF(DAY(Juil_Dim1)=1,IF(AND(YEAR(Juil_Dim1+3)=Année_Calendaire,MONTH(Juil_Dim1+3)=7),Juil_Dim1+3,""),IF(AND(YEAR(Juil_Dim1+10)=Année_Calendaire,MONTH(Juil_Dim1+10)=7),Juil_Dim1+10,""))</f>
        <v>43285</v>
      </c>
      <c r="O120" s="85">
        <f>IF(DAY(Juil_Dim1)=1,IF(AND(YEAR(Juil_Dim1+4)=Année_Calendaire,MONTH(Juil_Dim1+4)=7),Juil_Dim1+4,""),IF(AND(YEAR(Juil_Dim1+11)=Année_Calendaire,MONTH(Juil_Dim1+11)=7),Juil_Dim1+11,""))</f>
        <v>43286</v>
      </c>
      <c r="P120" s="85">
        <f>IF(DAY(Juil_Dim1)=1,IF(AND(YEAR(Juil_Dim1+5)=Année_Calendaire,MONTH(Juil_Dim1+5)=7),Juil_Dim1+5,""),IF(AND(YEAR(Juil_Dim1+12)=Année_Calendaire,MONTH(Juil_Dim1+12)=7),Juil_Dim1+12,""))</f>
        <v>43287</v>
      </c>
      <c r="Q120" s="85">
        <f>IF(DAY(Juil_Dim1)=1,IF(AND(YEAR(Juil_Dim1+6)=Année_Calendaire,MONTH(Juil_Dim1+6)=7),Juil_Dim1+6,""),IF(AND(YEAR(Juil_Dim1+13)=Année_Calendaire,MONTH(Juil_Dim1+13)=7),Juil_Dim1+13,""))</f>
        <v>43288</v>
      </c>
      <c r="R120" s="85">
        <f>IF(DAY(Juil_Dim1)=1,IF(AND(YEAR(Juil_Dim1+7)=Année_Calendaire,MONTH(Juil_Dim1+7)=7),Juil_Dim1+7,""),IF(AND(YEAR(Juil_Dim1+14)=Année_Calendaire,MONTH(Juil_Dim1+14)=7),Juil_Dim1+14,""))</f>
        <v>43289</v>
      </c>
      <c r="S120" s="113"/>
      <c r="T120" s="53"/>
      <c r="U120" s="85">
        <f>IF(DAY(Juil_Dim1)=1,IF(AND(YEAR(Juil_Dim1+8)=Année_Calendaire,MONTH(Juil_Dim1+8)=7),Juil_Dim1+8,""),IF(AND(YEAR(Juil_Dim1+15)=Année_Calendaire,MONTH(Juil_Dim1+15)=7),Juil_Dim1+15,""))</f>
        <v>43290</v>
      </c>
      <c r="V120" s="85">
        <f>IF(DAY(Juil_Dim1)=1,IF(AND(YEAR(Juil_Dim1+9)=Année_Calendaire,MONTH(Juil_Dim1+9)=7),Juil_Dim1+9,""),IF(AND(YEAR(Juil_Dim1+16)=Année_Calendaire,MONTH(Juil_Dim1+16)=7),Juil_Dim1+16,""))</f>
        <v>43291</v>
      </c>
      <c r="W120" s="85">
        <f>IF(DAY(Juil_Dim1)=1,IF(AND(YEAR(Juil_Dim1+10)=Année_Calendaire,MONTH(Juil_Dim1+10)=7),Juil_Dim1+10,""),IF(AND(YEAR(Juil_Dim1+17)=Année_Calendaire,MONTH(Juil_Dim1+17)=7),Juil_Dim1+17,""))</f>
        <v>43292</v>
      </c>
      <c r="X120" s="87">
        <f>IF(DAY(Juil_Dim1)=1,IF(AND(YEAR(Juil_Dim1+11)=Année_Calendaire,MONTH(Juil_Dim1+11)=7),Juil_Dim1+11,""),IF(AND(YEAR(Juil_Dim1+18)=Année_Calendaire,MONTH(Juil_Dim1+18)=7),Juil_Dim1+18,""))</f>
        <v>43293</v>
      </c>
      <c r="Y120" s="85">
        <f>IF(DAY(Juil_Dim1)=1,IF(AND(YEAR(Juil_Dim1+12)=Année_Calendaire,MONTH(Juil_Dim1+12)=7),Juil_Dim1+12,""),IF(AND(YEAR(Juil_Dim1+19)=Année_Calendaire,MONTH(Juil_Dim1+19)=7),Juil_Dim1+19,""))</f>
        <v>43294</v>
      </c>
      <c r="Z120" s="85">
        <f>IF(DAY(Juil_Dim1)=1,IF(AND(YEAR(Juil_Dim1+13)=Année_Calendaire,MONTH(Juil_Dim1+13)=7),Juil_Dim1+13,""),IF(AND(YEAR(Juil_Dim1+20)=Année_Calendaire,MONTH(Juil_Dim1+20)=7),Juil_Dim1+20,""))</f>
        <v>43295</v>
      </c>
      <c r="AA120" s="85">
        <f>IF(DAY(Juil_Dim1)=1,IF(AND(YEAR(Juil_Dim1+14)=Année_Calendaire,MONTH(Juil_Dim1+14)=7),Juil_Dim1+14,""),IF(AND(YEAR(Juil_Dim1+21)=Année_Calendaire,MONTH(Juil_Dim1+21)=7),Juil_Dim1+21,""))</f>
        <v>43296</v>
      </c>
      <c r="AB120" s="113"/>
      <c r="AC120" s="53"/>
      <c r="AD120" s="85">
        <f>IF(DAY(Juil_Dim1)=1,IF(AND(YEAR(Juil_Dim1+15)=Année_Calendaire,MONTH(Juil_Dim1+15)=7),Juil_Dim1+15,""),IF(AND(YEAR(Juil_Dim1+22)=Année_Calendaire,MONTH(Juil_Dim1+22)=7),Juil_Dim1+22,""))</f>
        <v>43297</v>
      </c>
      <c r="AE120" s="85">
        <f>IF(DAY(Juil_Dim1)=1,IF(AND(YEAR(Juil_Dim1+16)=Année_Calendaire,MONTH(Juil_Dim1+16)=7),Juil_Dim1+16,""),IF(AND(YEAR(Juil_Dim1+23)=Année_Calendaire,MONTH(Juil_Dim1+23)=7),Juil_Dim1+23,""))</f>
        <v>43298</v>
      </c>
      <c r="AF120" s="85">
        <f>IF(DAY(Juil_Dim1)=1,IF(AND(YEAR(Juil_Dim1+17)=Année_Calendaire,MONTH(Juil_Dim1+17)=7),Juil_Dim1+17,""),IF(AND(YEAR(Juil_Dim1+24)=Année_Calendaire,MONTH(Juil_Dim1+24)=7),Juil_Dim1+24,""))</f>
        <v>43299</v>
      </c>
      <c r="AG120" s="85">
        <f>IF(DAY(Juil_Dim1)=1,IF(AND(YEAR(Juil_Dim1+18)=Année_Calendaire,MONTH(Juil_Dim1+18)=7),Juil_Dim1+18,""),IF(AND(YEAR(Juil_Dim1+25)=Année_Calendaire,MONTH(Juil_Dim1+25)=7),Juil_Dim1+25,""))</f>
        <v>43300</v>
      </c>
      <c r="AH120" s="85">
        <f>IF(DAY(Juil_Dim1)=1,IF(AND(YEAR(Juil_Dim1+19)=Année_Calendaire,MONTH(Juil_Dim1+19)=7),Juil_Dim1+19,""),IF(AND(YEAR(Juil_Dim1+26)=Année_Calendaire,MONTH(Juil_Dim1+26)=7),Juil_Dim1+26,""))</f>
        <v>43301</v>
      </c>
      <c r="AI120" s="85">
        <f>IF(DAY(Juil_Dim1)=1,IF(AND(YEAR(Juil_Dim1+20)=Année_Calendaire,MONTH(Juil_Dim1+20)=7),Juil_Dim1+20,""),IF(AND(YEAR(Juil_Dim1+27)=Année_Calendaire,MONTH(Juil_Dim1+27)=7),Juil_Dim1+27,""))</f>
        <v>43302</v>
      </c>
      <c r="AJ120" s="85">
        <f>IF(DAY(Juil_Dim1)=1,IF(AND(YEAR(Juil_Dim1+21)=Année_Calendaire,MONTH(Juil_Dim1+21)=7),Juil_Dim1+21,""),IF(AND(YEAR(Juil_Dim1+28)=Année_Calendaire,MONTH(Juil_Dim1+28)=7),Juil_Dim1+28,""))</f>
        <v>43303</v>
      </c>
      <c r="AK120" s="113"/>
      <c r="AL120" s="53"/>
      <c r="AM120" s="85">
        <f>IF(DAY(Juil_Dim1)=1,IF(AND(YEAR(Juil_Dim1+22)=Année_Calendaire,MONTH(Juil_Dim1+22)=7),Juil_Dim1+22,""),IF(AND(YEAR(Juil_Dim1+29)=Année_Calendaire,MONTH(Juil_Dim1+29)=7),Juil_Dim1+29,""))</f>
        <v>43304</v>
      </c>
      <c r="AN120" s="85">
        <f>IF(DAY(Juil_Dim1)=1,IF(AND(YEAR(Juil_Dim1+23)=Année_Calendaire,MONTH(Juil_Dim1+23)=7),Juil_Dim1+23,""),IF(AND(YEAR(Juil_Dim1+30)=Année_Calendaire,MONTH(Juil_Dim1+30)=7),Juil_Dim1+30,""))</f>
        <v>43305</v>
      </c>
      <c r="AO120" s="85">
        <f>IF(DAY(Juil_Dim1)=1,IF(AND(YEAR(Juil_Dim1+24)=Année_Calendaire,MONTH(Juil_Dim1+24)=7),Juil_Dim1+24,""),IF(AND(YEAR(Juil_Dim1+31)=Année_Calendaire,MONTH(Juil_Dim1+31)=7),Juil_Dim1+31,""))</f>
        <v>43306</v>
      </c>
      <c r="AP120" s="85">
        <f>IF(DAY(Juil_Dim1)=1,IF(AND(YEAR(Juil_Dim1+25)=Année_Calendaire,MONTH(Juil_Dim1+25)=7),Juil_Dim1+25,""),IF(AND(YEAR(Juil_Dim1+32)=Année_Calendaire,MONTH(Juil_Dim1+32)=7),Juil_Dim1+32,""))</f>
        <v>43307</v>
      </c>
      <c r="AQ120" s="85">
        <f>IF(DAY(Juil_Dim1)=1,IF(AND(YEAR(Juil_Dim1+26)=Année_Calendaire,MONTH(Juil_Dim1+26)=7),Juil_Dim1+26,""),IF(AND(YEAR(Juil_Dim1+33)=Année_Calendaire,MONTH(Juil_Dim1+33)=7),Juil_Dim1+33,""))</f>
        <v>43308</v>
      </c>
      <c r="AR120" s="85">
        <f>IF(DAY(Juil_Dim1)=1,IF(AND(YEAR(Juil_Dim1+27)=Année_Calendaire,MONTH(Juil_Dim1+27)=7),Juil_Dim1+27,""),IF(AND(YEAR(Juil_Dim1+34)=Année_Calendaire,MONTH(Juil_Dim1+34)=7),Juil_Dim1+34,""))</f>
        <v>43309</v>
      </c>
      <c r="AS120" s="85">
        <f>IF(DAY(Juil_Dim1)=1,IF(AND(YEAR(Juil_Dim1+28)=Année_Calendaire,MONTH(Juil_Dim1+28)=7),Juil_Dim1+28,""),IF(AND(YEAR(Juil_Dim1+35)=Année_Calendaire,MONTH(Juil_Dim1+35)=7),Juil_Dim1+35,""))</f>
        <v>43310</v>
      </c>
      <c r="AT120" s="113"/>
      <c r="AU120" s="53"/>
      <c r="AV120" s="53">
        <f>IF(DAY(Juil_Dim1)=1,IF(AND(YEAR(Juil_Dim1+29)=Année_Calendaire,MONTH(Juil_Dim1+29)=7),Juil_Dim1+29,""),IF(AND(YEAR(Juil_Dim1+36)=Année_Calendaire,MONTH(Juil_Dim1+36)=7),Juil_Dim1+36,""))</f>
        <v>43311</v>
      </c>
      <c r="AW120" s="53">
        <f>IF(DAY(Juil_Dim1)=1,IF(AND(YEAR(Juil_Dim1+30)=Année_Calendaire,MONTH(Juil_Dim1+30)=7),Juil_Dim1+30,""),IF(AND(YEAR(Juil_Dim1+37)=Année_Calendaire,MONTH(Juil_Dim1+37)=7),Juil_Dim1+37,""))</f>
        <v>43312</v>
      </c>
      <c r="AX120" s="113"/>
      <c r="AY120" s="113"/>
      <c r="AZ120" s="114"/>
      <c r="BA120" s="114"/>
      <c r="BB120" s="31"/>
      <c r="BC120" s="31"/>
      <c r="BD120" s="31"/>
      <c r="BE120" s="31"/>
      <c r="BF120" s="23"/>
    </row>
    <row r="121" spans="1:59" s="5" customFormat="1" ht="15" customHeight="1">
      <c r="A121" s="47" t="s">
        <v>2</v>
      </c>
      <c r="B121" s="47"/>
      <c r="C121" s="48" t="str">
        <f>IF(C120="","",IFERROR(VLOOKUP(B119,DATA!$A$5:$H$9,2,TRUE),0))</f>
        <v/>
      </c>
      <c r="D121" s="48" t="str">
        <f>IF(D120="","",IFERROR(VLOOKUP(B119,DATA!$A$5:$H$9,3,TRUE),0))</f>
        <v/>
      </c>
      <c r="E121" s="48" t="str">
        <f>IF(E120="","",IFERROR(VLOOKUP(B119,DATA!$A$5:$H$9,4,TRUE),0))</f>
        <v/>
      </c>
      <c r="F121" s="48" t="str">
        <f>IF(F120="","",IFERROR(VLOOKUP(B119,DATA!$A$5:$H$9,5,TRUE),0))</f>
        <v/>
      </c>
      <c r="G121" s="48" t="str">
        <f>IF(G120="","",IFERROR(VLOOKUP(B119,DATA!$A$5:$H$9,6,TRUE),0))</f>
        <v/>
      </c>
      <c r="H121" s="48" t="str">
        <f>IF(H120="","",IFERROR(VLOOKUP(B119,DATA!$A$5:$H$9,7,TRUE),0))</f>
        <v/>
      </c>
      <c r="I121" s="48">
        <f>IF(I120="","",IFERROR(VLOOKUP(B119,DATA!$A$5:$H$9,8,TRUE),0))</f>
        <v>0</v>
      </c>
      <c r="J121" s="51">
        <f>IF(B119="c1",24,IF((B119="c3"),24,40))</f>
        <v>24</v>
      </c>
      <c r="K121" s="47"/>
      <c r="L121" s="48" t="str">
        <f>IF(L120="","",IFERROR(VLOOKUP(K119,DATA!$A$5:$H$9,2,TRUE),0))</f>
        <v>nuit</v>
      </c>
      <c r="M121" s="48" t="str">
        <f>IF(M120="","",IFERROR(VLOOKUP(K119,DATA!$A$5:$H$9,3,TRUE),0))</f>
        <v>nuit</v>
      </c>
      <c r="N121" s="48" t="str">
        <f>IF(N120="","",IFERROR(VLOOKUP(K119,DATA!$A$5:$H$9,4,TRUE),0))</f>
        <v>nuit</v>
      </c>
      <c r="O121" s="48" t="str">
        <f>IF(O120="","",IFERROR(VLOOKUP(K119,DATA!$A$5:$H$9,5,TRUE),0))</f>
        <v>nuit</v>
      </c>
      <c r="P121" s="48" t="str">
        <f>IF(P120="","",IFERROR(VLOOKUP(K119,DATA!$A$5:$H$9,6,TRUE),0))</f>
        <v>nuit</v>
      </c>
      <c r="Q121" s="48">
        <f>IF(Q120="","",IFERROR(VLOOKUP(K119,DATA!$A$5:$H$9,7,TRUE),0))</f>
        <v>0</v>
      </c>
      <c r="R121" s="48">
        <f>IF(R120="","",IFERROR(VLOOKUP(K119,DATA!$A$5:$H$9,8,TRUE),0))</f>
        <v>0</v>
      </c>
      <c r="S121" s="51">
        <f>IF(K119="c1",24,IF((K119="c3"),24,40))</f>
        <v>40</v>
      </c>
      <c r="T121" s="47"/>
      <c r="U121" s="48" t="str">
        <f>IF(U120="","",IFERROR(VLOOKUP(T119,DATA!$A$5:$H$9,2,TRUE),0))</f>
        <v>matin</v>
      </c>
      <c r="V121" s="48">
        <f>IF(V120="","",IFERROR(VLOOKUP(T119,DATA!$A$5:$H$9,3,TRUE),0))</f>
        <v>0</v>
      </c>
      <c r="W121" s="48">
        <f>IF(W120="","",IFERROR(VLOOKUP(T119,DATA!$A$5:$H$9,4,TRUE),0))</f>
        <v>0</v>
      </c>
      <c r="X121" s="48" t="str">
        <f>IF(X120="","",IFERROR(VLOOKUP(T119,DATA!$A$5:$H$9,5,TRUE),0))</f>
        <v>matin</v>
      </c>
      <c r="Y121" s="48" t="str">
        <f>IF(Y120="","",IFERROR(VLOOKUP(T119,DATA!$A$5:$H$9,6,TRUE),0))</f>
        <v>matin</v>
      </c>
      <c r="Z121" s="48">
        <f>IF(Z120="","",IFERROR(VLOOKUP(T119,DATA!$A$5:$H$9,7,TRUE),0))</f>
        <v>0</v>
      </c>
      <c r="AA121" s="48">
        <f>IF(AA120="","",IFERROR(VLOOKUP(T119,DATA!$A$5:$H$9,8,TRUE),0))</f>
        <v>0</v>
      </c>
      <c r="AB121" s="51">
        <f>IF(T119="c1",24,IF((T119="c3"),24,40))</f>
        <v>24</v>
      </c>
      <c r="AC121" s="47"/>
      <c r="AD121" s="48" t="str">
        <f>IF(AD120="","",IFERROR(VLOOKUP(AC119,DATA!$A$5:$H$9,2,TRUE),0))</f>
        <v>am</v>
      </c>
      <c r="AE121" s="48" t="str">
        <f>IF(AE120="","",IFERROR(VLOOKUP(AC119,DATA!$A$5:$H$9,3,TRUE),0))</f>
        <v>am</v>
      </c>
      <c r="AF121" s="48" t="str">
        <f>IF(AF120="","",IFERROR(VLOOKUP(AC119,DATA!$A$5:$H$9,4,TRUE),0))</f>
        <v>am</v>
      </c>
      <c r="AG121" s="48" t="str">
        <f>IF(AG120="","",IFERROR(VLOOKUP(AC119,DATA!$A$5:$H$9,5,TRUE),0))</f>
        <v>am</v>
      </c>
      <c r="AH121" s="48" t="str">
        <f>IF(AH120="","",IFERROR(VLOOKUP(AC119,DATA!$A$5:$H$9,6,TRUE),0))</f>
        <v>am</v>
      </c>
      <c r="AI121" s="48">
        <f>IF(AI120="","",IFERROR(VLOOKUP(AC119,DATA!$A$5:$H$9,7,TRUE),0))</f>
        <v>0</v>
      </c>
      <c r="AJ121" s="48">
        <f>IF(AJ120="","",IFERROR(VLOOKUP(AC119,DATA!$A$5:$H$9,8,TRUE),0))</f>
        <v>0</v>
      </c>
      <c r="AK121" s="51">
        <f>IF(AC119="c1",24,IF((AC119="c3"),24,40))</f>
        <v>40</v>
      </c>
      <c r="AL121" s="47"/>
      <c r="AM121" s="48" t="str">
        <f>IF(AM120="","",IFERROR(VLOOKUP(AL119,DATA!$A$5:$H$9,2,TRUE),0))</f>
        <v>matin</v>
      </c>
      <c r="AN121" s="48" t="str">
        <f>IF(AN120="","",IFERROR(VLOOKUP(AL119,DATA!$A$5:$H$9,3,TRUE),0))</f>
        <v>matin</v>
      </c>
      <c r="AO121" s="48" t="str">
        <f>IF(AO120="","",IFERROR(VLOOKUP(AL119,DATA!$A$5:$H$9,4,TRUE),0))</f>
        <v>matin</v>
      </c>
      <c r="AP121" s="48">
        <f>IF(AP120="","",IFERROR(VLOOKUP(AL119,DATA!$A$5:$H$9,5,TRUE),0))</f>
        <v>0</v>
      </c>
      <c r="AQ121" s="48">
        <f>IF(AQ120="","",IFERROR(VLOOKUP(AL119,DATA!$A$5:$H$9,6,TRUE),0))</f>
        <v>0</v>
      </c>
      <c r="AR121" s="48">
        <f>IF(AR120="","",IFERROR(VLOOKUP(AL119,DATA!$A$5:$H$9,7,TRUE),0))</f>
        <v>0</v>
      </c>
      <c r="AS121" s="48">
        <f>IF(AS120="","",IFERROR(VLOOKUP(AL119,DATA!$A$5:$H$9,8,TRUE),0))</f>
        <v>0</v>
      </c>
      <c r="AT121" s="51">
        <f>IF(AL119="c1",24,IF((AL119="c3"),24,40))</f>
        <v>24</v>
      </c>
      <c r="AU121" s="47"/>
      <c r="AV121" s="48" t="str">
        <f>IF(AV120="","",IFERROR(VLOOKUP(AU119,DATA!$A$5:$H$9,2,TRUE),0))</f>
        <v>nuit</v>
      </c>
      <c r="AW121" s="48" t="str">
        <f>IF(AW120="","",IFERROR(VLOOKUP(AU119,DATA!$A$5:$H$9,3,TRUE),0))</f>
        <v>nuit</v>
      </c>
      <c r="AX121" s="51">
        <f>IF(AP119="c1",24,IF((AP119="c3"),24,40))</f>
        <v>40</v>
      </c>
      <c r="AY121" s="49"/>
      <c r="AZ121" s="39"/>
      <c r="BA121" s="39"/>
      <c r="BB121" s="39"/>
      <c r="BC121" s="39"/>
      <c r="BD121" s="39"/>
      <c r="BE121" s="39"/>
      <c r="BF121" s="29"/>
    </row>
    <row r="122" spans="1:59" s="27" customFormat="1" ht="15" customHeight="1">
      <c r="A122" s="50" t="s">
        <v>12</v>
      </c>
      <c r="B122" s="50"/>
      <c r="C122" s="51">
        <f t="shared" ref="C122:I122" si="272">IF(C121="Matin",1,IF(C121="AM",1,0))</f>
        <v>0</v>
      </c>
      <c r="D122" s="51">
        <f t="shared" si="272"/>
        <v>0</v>
      </c>
      <c r="E122" s="51">
        <f t="shared" si="272"/>
        <v>0</v>
      </c>
      <c r="F122" s="51">
        <f t="shared" si="272"/>
        <v>0</v>
      </c>
      <c r="G122" s="51">
        <f t="shared" si="272"/>
        <v>0</v>
      </c>
      <c r="H122" s="51">
        <f t="shared" si="272"/>
        <v>0</v>
      </c>
      <c r="I122" s="51">
        <f t="shared" si="272"/>
        <v>0</v>
      </c>
      <c r="J122" s="51">
        <f>SUM(C122:I122)</f>
        <v>0</v>
      </c>
      <c r="K122" s="50"/>
      <c r="L122" s="51">
        <f t="shared" ref="L122:R122" si="273">IF(L121="Matin",1,IF(L121="AM",1,0))</f>
        <v>0</v>
      </c>
      <c r="M122" s="51">
        <f t="shared" si="273"/>
        <v>0</v>
      </c>
      <c r="N122" s="51">
        <f t="shared" si="273"/>
        <v>0</v>
      </c>
      <c r="O122" s="51">
        <f t="shared" si="273"/>
        <v>0</v>
      </c>
      <c r="P122" s="51">
        <f t="shared" si="273"/>
        <v>0</v>
      </c>
      <c r="Q122" s="51">
        <f t="shared" si="273"/>
        <v>0</v>
      </c>
      <c r="R122" s="51">
        <f t="shared" si="273"/>
        <v>0</v>
      </c>
      <c r="S122" s="51">
        <f>SUM(L122:R122)</f>
        <v>0</v>
      </c>
      <c r="T122" s="50"/>
      <c r="U122" s="51">
        <f t="shared" ref="U122:AA122" si="274">IF(U121="Matin",1,IF(U121="AM",1,0))</f>
        <v>1</v>
      </c>
      <c r="V122" s="51">
        <f t="shared" si="274"/>
        <v>0</v>
      </c>
      <c r="W122" s="51">
        <f t="shared" si="274"/>
        <v>0</v>
      </c>
      <c r="X122" s="51">
        <f t="shared" si="274"/>
        <v>1</v>
      </c>
      <c r="Y122" s="51">
        <f t="shared" si="274"/>
        <v>1</v>
      </c>
      <c r="Z122" s="51">
        <f t="shared" si="274"/>
        <v>0</v>
      </c>
      <c r="AA122" s="51">
        <f t="shared" si="274"/>
        <v>0</v>
      </c>
      <c r="AB122" s="51">
        <f>SUM(U122:AA122)</f>
        <v>3</v>
      </c>
      <c r="AC122" s="50"/>
      <c r="AD122" s="51">
        <f t="shared" ref="AD122:AJ122" si="275">IF(AD121="Matin",1,IF(AD121="AM",1,0))</f>
        <v>1</v>
      </c>
      <c r="AE122" s="51">
        <f t="shared" si="275"/>
        <v>1</v>
      </c>
      <c r="AF122" s="51">
        <f t="shared" si="275"/>
        <v>1</v>
      </c>
      <c r="AG122" s="51">
        <f t="shared" si="275"/>
        <v>1</v>
      </c>
      <c r="AH122" s="51">
        <f t="shared" si="275"/>
        <v>1</v>
      </c>
      <c r="AI122" s="51">
        <f t="shared" si="275"/>
        <v>0</v>
      </c>
      <c r="AJ122" s="51">
        <f t="shared" si="275"/>
        <v>0</v>
      </c>
      <c r="AK122" s="51">
        <f>SUM(AD122:AJ122)</f>
        <v>5</v>
      </c>
      <c r="AL122" s="50"/>
      <c r="AM122" s="51">
        <f t="shared" ref="AM122:AS122" si="276">IF(AM121="Matin",1,IF(AM121="AM",1,0))</f>
        <v>1</v>
      </c>
      <c r="AN122" s="51">
        <f t="shared" si="276"/>
        <v>1</v>
      </c>
      <c r="AO122" s="51">
        <f t="shared" si="276"/>
        <v>1</v>
      </c>
      <c r="AP122" s="51">
        <f t="shared" si="276"/>
        <v>0</v>
      </c>
      <c r="AQ122" s="51">
        <f t="shared" si="276"/>
        <v>0</v>
      </c>
      <c r="AR122" s="51">
        <f t="shared" si="276"/>
        <v>0</v>
      </c>
      <c r="AS122" s="51">
        <f t="shared" si="276"/>
        <v>0</v>
      </c>
      <c r="AT122" s="51">
        <f>SUM(AM122:AS122)</f>
        <v>3</v>
      </c>
      <c r="AU122" s="50"/>
      <c r="AV122" s="51">
        <f t="shared" ref="AV122:AW122" si="277">IF(AV121="Matin",1,IF(AV121="AM",1,0))</f>
        <v>0</v>
      </c>
      <c r="AW122" s="51">
        <f t="shared" si="277"/>
        <v>0</v>
      </c>
      <c r="AX122" s="51">
        <f>SUM(AV122:AW122)</f>
        <v>0</v>
      </c>
      <c r="AY122" s="51">
        <f>J122+S122+AB122+AK122+AT122+AX122</f>
        <v>11</v>
      </c>
      <c r="AZ122" s="25"/>
      <c r="BA122" s="25"/>
      <c r="BB122" s="25"/>
      <c r="BC122" s="25"/>
      <c r="BD122" s="25"/>
      <c r="BE122" s="25"/>
      <c r="BF122" s="25"/>
      <c r="BG122" s="28"/>
    </row>
    <row r="123" spans="1:59" s="27" customFormat="1" ht="15" customHeight="1">
      <c r="A123" s="47" t="s">
        <v>4</v>
      </c>
      <c r="B123" s="47"/>
      <c r="C123" s="48">
        <f>IF(C124&gt;=1,1,0)</f>
        <v>0</v>
      </c>
      <c r="D123" s="48">
        <f>IF(D124&gt;=1,1,0)</f>
        <v>0</v>
      </c>
      <c r="E123" s="48">
        <f t="shared" ref="E123:I123" si="278">IF(E124&gt;=1,1,0)</f>
        <v>0</v>
      </c>
      <c r="F123" s="48">
        <f t="shared" si="278"/>
        <v>0</v>
      </c>
      <c r="G123" s="48">
        <f t="shared" si="278"/>
        <v>0</v>
      </c>
      <c r="H123" s="48">
        <f t="shared" si="278"/>
        <v>0</v>
      </c>
      <c r="I123" s="48">
        <f t="shared" si="278"/>
        <v>0</v>
      </c>
      <c r="J123" s="51">
        <f t="shared" ref="J123:J128" si="279">SUM(C123:I123)</f>
        <v>0</v>
      </c>
      <c r="K123" s="47"/>
      <c r="L123" s="48">
        <f>IF(L124&gt;=1,1,0)</f>
        <v>1</v>
      </c>
      <c r="M123" s="48">
        <f t="shared" ref="M123:R123" si="280">IF(M124&gt;=1,1,0)</f>
        <v>1</v>
      </c>
      <c r="N123" s="48">
        <f t="shared" si="280"/>
        <v>1</v>
      </c>
      <c r="O123" s="48">
        <f t="shared" si="280"/>
        <v>1</v>
      </c>
      <c r="P123" s="48">
        <f t="shared" si="280"/>
        <v>1</v>
      </c>
      <c r="Q123" s="48">
        <f t="shared" si="280"/>
        <v>0</v>
      </c>
      <c r="R123" s="48">
        <f t="shared" si="280"/>
        <v>0</v>
      </c>
      <c r="S123" s="51">
        <f t="shared" ref="S123:S128" si="281">SUM(L123:R123)</f>
        <v>5</v>
      </c>
      <c r="T123" s="47"/>
      <c r="U123" s="48">
        <f>IF(U124&gt;=1,1,0)</f>
        <v>1</v>
      </c>
      <c r="V123" s="48">
        <f t="shared" ref="V123:AA123" si="282">IF(V124&gt;=1,1,0)</f>
        <v>0</v>
      </c>
      <c r="W123" s="48">
        <f t="shared" si="282"/>
        <v>0</v>
      </c>
      <c r="X123" s="48">
        <f t="shared" si="282"/>
        <v>1</v>
      </c>
      <c r="Y123" s="48">
        <f t="shared" si="282"/>
        <v>1</v>
      </c>
      <c r="Z123" s="48">
        <f t="shared" si="282"/>
        <v>0</v>
      </c>
      <c r="AA123" s="48">
        <f t="shared" si="282"/>
        <v>0</v>
      </c>
      <c r="AB123" s="51">
        <f t="shared" ref="AB123:AB128" si="283">SUM(U123:AA123)</f>
        <v>3</v>
      </c>
      <c r="AC123" s="47"/>
      <c r="AD123" s="48">
        <f>IF(AD124&gt;=1,1,0)</f>
        <v>1</v>
      </c>
      <c r="AE123" s="48">
        <f t="shared" ref="AE123:AJ123" si="284">IF(AE124&gt;=1,1,0)</f>
        <v>1</v>
      </c>
      <c r="AF123" s="48">
        <f t="shared" si="284"/>
        <v>1</v>
      </c>
      <c r="AG123" s="48">
        <f t="shared" si="284"/>
        <v>1</v>
      </c>
      <c r="AH123" s="48">
        <f t="shared" si="284"/>
        <v>1</v>
      </c>
      <c r="AI123" s="48">
        <f t="shared" si="284"/>
        <v>0</v>
      </c>
      <c r="AJ123" s="48">
        <f t="shared" si="284"/>
        <v>0</v>
      </c>
      <c r="AK123" s="51">
        <f t="shared" ref="AK123:AK128" si="285">SUM(AD123:AJ123)</f>
        <v>5</v>
      </c>
      <c r="AL123" s="47"/>
      <c r="AM123" s="48">
        <f>IF(AM124&gt;=1,1,0)</f>
        <v>1</v>
      </c>
      <c r="AN123" s="48">
        <f t="shared" ref="AN123:AS123" si="286">IF(AN124&gt;=1,1,0)</f>
        <v>1</v>
      </c>
      <c r="AO123" s="48">
        <f t="shared" si="286"/>
        <v>1</v>
      </c>
      <c r="AP123" s="48">
        <f t="shared" si="286"/>
        <v>0</v>
      </c>
      <c r="AQ123" s="48">
        <f t="shared" si="286"/>
        <v>0</v>
      </c>
      <c r="AR123" s="48">
        <f t="shared" si="286"/>
        <v>0</v>
      </c>
      <c r="AS123" s="48">
        <f t="shared" si="286"/>
        <v>0</v>
      </c>
      <c r="AT123" s="51">
        <f t="shared" ref="AT123:AT128" si="287">SUM(AM123:AS123)</f>
        <v>3</v>
      </c>
      <c r="AU123" s="47"/>
      <c r="AV123" s="48">
        <f>IF(AV124&gt;=1,1,0)</f>
        <v>1</v>
      </c>
      <c r="AW123" s="48">
        <f t="shared" ref="AW123" si="288">IF(AW124&gt;=1,1,0)</f>
        <v>1</v>
      </c>
      <c r="AX123" s="51">
        <f>SUM(AV123:AW123)</f>
        <v>2</v>
      </c>
      <c r="AY123" s="48">
        <f t="shared" ref="AY123:AY132" si="289">J123+S123+AB123+AK123+AT123+AX123</f>
        <v>18</v>
      </c>
      <c r="AZ123" s="39"/>
      <c r="BA123" s="39"/>
      <c r="BB123" s="39"/>
      <c r="BC123" s="39"/>
      <c r="BD123" s="39"/>
      <c r="BE123" s="39"/>
      <c r="BF123" s="29"/>
    </row>
    <row r="124" spans="1:59" s="27" customFormat="1" ht="15" customHeight="1">
      <c r="A124" s="50" t="s">
        <v>3</v>
      </c>
      <c r="B124" s="50"/>
      <c r="C124" s="51">
        <f>IF(C121="Matin",8,IF(C121="AM",8,IF(C121="nuit",8,0)))</f>
        <v>0</v>
      </c>
      <c r="D124" s="51">
        <f t="shared" ref="D124:I124" si="290">IF(D121="Matin",8,IF(D121="AM",8,IF(D121="nuit",8,0)))</f>
        <v>0</v>
      </c>
      <c r="E124" s="51">
        <f t="shared" si="290"/>
        <v>0</v>
      </c>
      <c r="F124" s="51">
        <f t="shared" si="290"/>
        <v>0</v>
      </c>
      <c r="G124" s="51">
        <f t="shared" si="290"/>
        <v>0</v>
      </c>
      <c r="H124" s="51">
        <f t="shared" si="290"/>
        <v>0</v>
      </c>
      <c r="I124" s="51">
        <f t="shared" si="290"/>
        <v>0</v>
      </c>
      <c r="J124" s="51">
        <f t="shared" si="279"/>
        <v>0</v>
      </c>
      <c r="K124" s="50"/>
      <c r="L124" s="51">
        <f>IF(L121="Matin",8,IF(L121="AM",8,IF(L121="nuit",8,0)))</f>
        <v>8</v>
      </c>
      <c r="M124" s="51">
        <f t="shared" ref="M124:R124" si="291">IF(M121="Matin",8,IF(M121="AM",8,IF(M121="nuit",8,0)))</f>
        <v>8</v>
      </c>
      <c r="N124" s="51">
        <f t="shared" si="291"/>
        <v>8</v>
      </c>
      <c r="O124" s="51">
        <f t="shared" si="291"/>
        <v>8</v>
      </c>
      <c r="P124" s="51">
        <f t="shared" si="291"/>
        <v>8</v>
      </c>
      <c r="Q124" s="51">
        <f t="shared" si="291"/>
        <v>0</v>
      </c>
      <c r="R124" s="51">
        <f t="shared" si="291"/>
        <v>0</v>
      </c>
      <c r="S124" s="51">
        <f t="shared" si="281"/>
        <v>40</v>
      </c>
      <c r="T124" s="50"/>
      <c r="U124" s="51">
        <f>IF(U121="Matin",8,IF(U121="AM",8,IF(U121="nuit",8,0)))</f>
        <v>8</v>
      </c>
      <c r="V124" s="51">
        <f t="shared" ref="V124:AA124" si="292">IF(V121="Matin",8,IF(V121="AM",8,IF(V121="nuit",8,0)))</f>
        <v>0</v>
      </c>
      <c r="W124" s="51">
        <f t="shared" si="292"/>
        <v>0</v>
      </c>
      <c r="X124" s="51">
        <f t="shared" si="292"/>
        <v>8</v>
      </c>
      <c r="Y124" s="51">
        <f t="shared" si="292"/>
        <v>8</v>
      </c>
      <c r="Z124" s="51">
        <f t="shared" si="292"/>
        <v>0</v>
      </c>
      <c r="AA124" s="51">
        <f t="shared" si="292"/>
        <v>0</v>
      </c>
      <c r="AB124" s="51">
        <f t="shared" si="283"/>
        <v>24</v>
      </c>
      <c r="AC124" s="50"/>
      <c r="AD124" s="51">
        <f>IF(AD121="Matin",8,IF(AD121="AM",8,IF(AD121="nuit",8,0)))</f>
        <v>8</v>
      </c>
      <c r="AE124" s="51">
        <f t="shared" ref="AE124:AJ124" si="293">IF(AE121="Matin",8,IF(AE121="AM",8,IF(AE121="nuit",8,0)))</f>
        <v>8</v>
      </c>
      <c r="AF124" s="51">
        <f t="shared" si="293"/>
        <v>8</v>
      </c>
      <c r="AG124" s="51">
        <f t="shared" si="293"/>
        <v>8</v>
      </c>
      <c r="AH124" s="51">
        <f t="shared" si="293"/>
        <v>8</v>
      </c>
      <c r="AI124" s="51">
        <f t="shared" si="293"/>
        <v>0</v>
      </c>
      <c r="AJ124" s="51">
        <f t="shared" si="293"/>
        <v>0</v>
      </c>
      <c r="AK124" s="51">
        <f t="shared" si="285"/>
        <v>40</v>
      </c>
      <c r="AL124" s="50"/>
      <c r="AM124" s="51">
        <f>IF(AM121="Matin",8,IF(AM121="AM",8,IF(AM121="nuit",8,0)))</f>
        <v>8</v>
      </c>
      <c r="AN124" s="51">
        <f t="shared" ref="AN124:AS124" si="294">IF(AN121="Matin",8,IF(AN121="AM",8,IF(AN121="nuit",8,0)))</f>
        <v>8</v>
      </c>
      <c r="AO124" s="51">
        <f t="shared" si="294"/>
        <v>8</v>
      </c>
      <c r="AP124" s="51">
        <f t="shared" si="294"/>
        <v>0</v>
      </c>
      <c r="AQ124" s="51">
        <f t="shared" si="294"/>
        <v>0</v>
      </c>
      <c r="AR124" s="51">
        <f t="shared" si="294"/>
        <v>0</v>
      </c>
      <c r="AS124" s="51">
        <f t="shared" si="294"/>
        <v>0</v>
      </c>
      <c r="AT124" s="51">
        <f t="shared" si="287"/>
        <v>24</v>
      </c>
      <c r="AU124" s="50"/>
      <c r="AV124" s="51">
        <f>IF(AV121="Matin",8,IF(AV121="AM",8,IF(AV121="nuit",8,0)))</f>
        <v>8</v>
      </c>
      <c r="AW124" s="51">
        <f t="shared" ref="AW124" si="295">IF(AW121="Matin",8,IF(AW121="AM",8,IF(AW121="nuit",8,0)))</f>
        <v>8</v>
      </c>
      <c r="AX124" s="51">
        <f>SUM(AV124:AW124)</f>
        <v>16</v>
      </c>
      <c r="AY124" s="51">
        <f t="shared" si="289"/>
        <v>144</v>
      </c>
      <c r="AZ124" s="25"/>
      <c r="BA124" s="25"/>
      <c r="BB124" s="25"/>
      <c r="BC124" s="25"/>
      <c r="BD124" s="25"/>
      <c r="BE124" s="25"/>
      <c r="BF124" s="25"/>
      <c r="BG124" s="28"/>
    </row>
    <row r="125" spans="1:59" s="5" customFormat="1" ht="15" customHeight="1">
      <c r="A125" s="47" t="s">
        <v>13</v>
      </c>
      <c r="B125" s="47"/>
      <c r="C125" s="48"/>
      <c r="D125" s="48"/>
      <c r="E125" s="48"/>
      <c r="F125" s="48"/>
      <c r="G125" s="48"/>
      <c r="H125" s="48"/>
      <c r="I125" s="48"/>
      <c r="J125" s="51">
        <f>MAX(MIN(DATA!$D$22-DATA!$C$22,Travail!J124-Travail!J121-I124),0)</f>
        <v>0</v>
      </c>
      <c r="K125" s="47"/>
      <c r="L125" s="48"/>
      <c r="M125" s="48"/>
      <c r="N125" s="48"/>
      <c r="O125" s="48"/>
      <c r="P125" s="48"/>
      <c r="Q125" s="48"/>
      <c r="R125" s="48"/>
      <c r="S125" s="51">
        <f>MAX(MIN(DATA!$D$22-DATA!$C$22,Travail!S124-Travail!S121-R124),0)</f>
        <v>0</v>
      </c>
      <c r="T125" s="47"/>
      <c r="U125" s="48"/>
      <c r="V125" s="48"/>
      <c r="W125" s="48"/>
      <c r="X125" s="48"/>
      <c r="Y125" s="48"/>
      <c r="Z125" s="48"/>
      <c r="AA125" s="48"/>
      <c r="AB125" s="51">
        <f>MAX(MIN(DATA!$D$22-DATA!$C$22,Travail!AB124-Travail!AB121-AA124),0)</f>
        <v>0</v>
      </c>
      <c r="AC125" s="47"/>
      <c r="AD125" s="48"/>
      <c r="AE125" s="48"/>
      <c r="AF125" s="48"/>
      <c r="AG125" s="48"/>
      <c r="AH125" s="48"/>
      <c r="AI125" s="48"/>
      <c r="AJ125" s="48"/>
      <c r="AK125" s="51">
        <f>MAX(MIN(DATA!$D$22-DATA!$C$22,Travail!AK124-Travail!AK121-AJ124),0)</f>
        <v>0</v>
      </c>
      <c r="AL125" s="47"/>
      <c r="AM125" s="48"/>
      <c r="AN125" s="48"/>
      <c r="AO125" s="48"/>
      <c r="AP125" s="48"/>
      <c r="AQ125" s="48"/>
      <c r="AR125" s="48"/>
      <c r="AS125" s="48"/>
      <c r="AT125" s="51">
        <f>MAX(MIN(DATA!$D$22-DATA!$C$22,Travail!AT124-Travail!AT121-AS124),0)</f>
        <v>0</v>
      </c>
      <c r="AU125" s="47"/>
      <c r="AV125" s="48"/>
      <c r="AW125" s="48"/>
      <c r="AX125" s="51">
        <f>MAX(MIN(DATA!$D$22-DATA!$C$22,Travail!AX124-Travail!AX121),0)</f>
        <v>0</v>
      </c>
      <c r="AY125" s="49">
        <f t="shared" si="289"/>
        <v>0</v>
      </c>
      <c r="AZ125" s="39"/>
      <c r="BA125" s="39"/>
      <c r="BB125" s="39"/>
      <c r="BC125" s="39"/>
      <c r="BD125" s="39"/>
      <c r="BE125" s="39"/>
      <c r="BF125" s="29"/>
    </row>
    <row r="126" spans="1:59" s="27" customFormat="1" ht="15" customHeight="1">
      <c r="A126" s="50" t="s">
        <v>6</v>
      </c>
      <c r="B126" s="50"/>
      <c r="C126" s="51"/>
      <c r="D126" s="51"/>
      <c r="E126" s="51"/>
      <c r="F126" s="51"/>
      <c r="G126" s="51"/>
      <c r="H126" s="51"/>
      <c r="I126" s="51"/>
      <c r="J126" s="51">
        <f>MAX(MIN(DATA!$E$22-DATA!$D$22,Travail!J124-Travail!J121-Travail!J125-I124),0)</f>
        <v>0</v>
      </c>
      <c r="K126" s="50"/>
      <c r="L126" s="51"/>
      <c r="M126" s="51"/>
      <c r="N126" s="51"/>
      <c r="O126" s="51"/>
      <c r="P126" s="51"/>
      <c r="Q126" s="51"/>
      <c r="R126" s="51"/>
      <c r="S126" s="51">
        <f>MAX(MIN(DATA!$E$22-DATA!$D$22,Travail!S124-Travail!S121-Travail!S125-R124),0)</f>
        <v>0</v>
      </c>
      <c r="T126" s="50"/>
      <c r="U126" s="51"/>
      <c r="V126" s="51"/>
      <c r="W126" s="51"/>
      <c r="X126" s="51"/>
      <c r="Y126" s="51"/>
      <c r="Z126" s="51"/>
      <c r="AA126" s="51"/>
      <c r="AB126" s="51">
        <f>MAX(MIN(DATA!$E$22-DATA!$D$22,Travail!AB124-Travail!AB121-Travail!AB125-AA124),0)</f>
        <v>0</v>
      </c>
      <c r="AC126" s="50"/>
      <c r="AD126" s="51"/>
      <c r="AE126" s="51"/>
      <c r="AF126" s="51"/>
      <c r="AG126" s="51"/>
      <c r="AH126" s="51"/>
      <c r="AI126" s="51"/>
      <c r="AJ126" s="51"/>
      <c r="AK126" s="51">
        <f>MAX(MIN(DATA!$E$22-DATA!$D$22,Travail!AK124-Travail!AK121-Travail!AK125-AJ124),0)</f>
        <v>0</v>
      </c>
      <c r="AL126" s="50"/>
      <c r="AM126" s="51"/>
      <c r="AN126" s="51"/>
      <c r="AO126" s="51"/>
      <c r="AP126" s="51"/>
      <c r="AQ126" s="51"/>
      <c r="AR126" s="51"/>
      <c r="AS126" s="51"/>
      <c r="AT126" s="51">
        <f>MAX(MIN(DATA!$E$22-DATA!$D$22,Travail!AT124-Travail!AT121-Travail!AT125-AS124),0)</f>
        <v>0</v>
      </c>
      <c r="AU126" s="50"/>
      <c r="AV126" s="51"/>
      <c r="AW126" s="51"/>
      <c r="AX126" s="51">
        <f>MAX(MIN(DATA!$E$22-DATA!$D$22,Travail!AX124-Travail!AX121-Travail!AX125),0)</f>
        <v>0</v>
      </c>
      <c r="AY126" s="51">
        <f t="shared" si="289"/>
        <v>0</v>
      </c>
      <c r="AZ126" s="25"/>
      <c r="BA126" s="25"/>
      <c r="BB126" s="25"/>
      <c r="BC126" s="25"/>
      <c r="BD126" s="25"/>
      <c r="BE126" s="25"/>
      <c r="BF126" s="25"/>
      <c r="BG126" s="28"/>
    </row>
    <row r="127" spans="1:59" s="5" customFormat="1" ht="15" customHeight="1">
      <c r="A127" s="47" t="s">
        <v>5</v>
      </c>
      <c r="B127" s="47"/>
      <c r="C127" s="48"/>
      <c r="D127" s="48"/>
      <c r="E127" s="48"/>
      <c r="F127" s="48"/>
      <c r="G127" s="48"/>
      <c r="H127" s="48"/>
      <c r="I127" s="48"/>
      <c r="J127" s="51">
        <f>MAX(J124-J121-J126-J125-J128,0)</f>
        <v>0</v>
      </c>
      <c r="K127" s="47"/>
      <c r="L127" s="48"/>
      <c r="M127" s="48"/>
      <c r="N127" s="48"/>
      <c r="O127" s="48"/>
      <c r="P127" s="48"/>
      <c r="Q127" s="48"/>
      <c r="R127" s="48"/>
      <c r="S127" s="51">
        <f>MAX(S124-S121-S126-S125-S128,0)</f>
        <v>0</v>
      </c>
      <c r="T127" s="47"/>
      <c r="U127" s="48"/>
      <c r="V127" s="48"/>
      <c r="W127" s="48"/>
      <c r="X127" s="48"/>
      <c r="Y127" s="48"/>
      <c r="Z127" s="48"/>
      <c r="AA127" s="48"/>
      <c r="AB127" s="51">
        <f>MAX(AB124-AB121-AB126-AB125-AB128,0)</f>
        <v>0</v>
      </c>
      <c r="AC127" s="47"/>
      <c r="AD127" s="48"/>
      <c r="AE127" s="48"/>
      <c r="AF127" s="48"/>
      <c r="AG127" s="48"/>
      <c r="AH127" s="48"/>
      <c r="AI127" s="48"/>
      <c r="AJ127" s="48"/>
      <c r="AK127" s="51">
        <f>MAX(AK124-AK121-AK126-AK125-AK128,0)</f>
        <v>0</v>
      </c>
      <c r="AL127" s="47"/>
      <c r="AM127" s="48"/>
      <c r="AN127" s="48"/>
      <c r="AO127" s="48"/>
      <c r="AP127" s="48"/>
      <c r="AQ127" s="48"/>
      <c r="AR127" s="48"/>
      <c r="AS127" s="48"/>
      <c r="AT127" s="51">
        <f>MAX(AT124-AT121-AT126-AT125-AT128,0)</f>
        <v>0</v>
      </c>
      <c r="AU127" s="47"/>
      <c r="AV127" s="48"/>
      <c r="AW127" s="48"/>
      <c r="AX127" s="97">
        <f>MAX(AX124-AX121-AX126-AX125,0)</f>
        <v>0</v>
      </c>
      <c r="AY127" s="49">
        <f t="shared" si="289"/>
        <v>0</v>
      </c>
      <c r="AZ127" s="39"/>
      <c r="BA127" s="39"/>
      <c r="BB127" s="39"/>
      <c r="BC127" s="39"/>
      <c r="BD127" s="39"/>
      <c r="BE127" s="39"/>
      <c r="BF127" s="29"/>
    </row>
    <row r="128" spans="1:59" s="27" customFormat="1" ht="15" customHeight="1">
      <c r="A128" s="50" t="s">
        <v>7</v>
      </c>
      <c r="B128" s="50"/>
      <c r="C128" s="51">
        <f>IF(C119="Dim",C124,IF(C134="ferie",C124,0))</f>
        <v>0</v>
      </c>
      <c r="D128" s="51">
        <f t="shared" ref="D128:I128" si="296">IF(D119="Dim",D124,IF(D134="ferie",D124,0))</f>
        <v>0</v>
      </c>
      <c r="E128" s="51">
        <f t="shared" si="296"/>
        <v>0</v>
      </c>
      <c r="F128" s="51">
        <f t="shared" si="296"/>
        <v>0</v>
      </c>
      <c r="G128" s="51">
        <f t="shared" si="296"/>
        <v>0</v>
      </c>
      <c r="H128" s="51">
        <f t="shared" si="296"/>
        <v>0</v>
      </c>
      <c r="I128" s="51">
        <f t="shared" si="296"/>
        <v>0</v>
      </c>
      <c r="J128" s="51">
        <f t="shared" si="279"/>
        <v>0</v>
      </c>
      <c r="K128" s="50"/>
      <c r="L128" s="51">
        <f>IF(L119="Dim",L124,IF(L134="ferie",L124,0))</f>
        <v>0</v>
      </c>
      <c r="M128" s="51">
        <f t="shared" ref="M128:R128" si="297">IF(M119="Dim",M124,IF(M134="ferie",M124,0))</f>
        <v>0</v>
      </c>
      <c r="N128" s="51">
        <f t="shared" si="297"/>
        <v>0</v>
      </c>
      <c r="O128" s="51">
        <f t="shared" si="297"/>
        <v>0</v>
      </c>
      <c r="P128" s="51">
        <f t="shared" si="297"/>
        <v>0</v>
      </c>
      <c r="Q128" s="51">
        <f>IF(Q119="Dim",Q124,IF(Q134="ferie",Q124,0))</f>
        <v>0</v>
      </c>
      <c r="R128" s="51">
        <f t="shared" si="297"/>
        <v>0</v>
      </c>
      <c r="S128" s="51">
        <f t="shared" si="281"/>
        <v>0</v>
      </c>
      <c r="T128" s="50"/>
      <c r="U128" s="51">
        <f>IF(U119="Dim",U124,IF(U134="ferie",U124,0))</f>
        <v>0</v>
      </c>
      <c r="V128" s="51">
        <f t="shared" ref="V128:AA128" si="298">IF(V119="Dim",V124,IF(V134="ferie",V124,0))</f>
        <v>0</v>
      </c>
      <c r="W128" s="51">
        <f t="shared" si="298"/>
        <v>0</v>
      </c>
      <c r="X128" s="51">
        <f t="shared" si="298"/>
        <v>0</v>
      </c>
      <c r="Y128" s="51">
        <f t="shared" si="298"/>
        <v>0</v>
      </c>
      <c r="Z128" s="51">
        <f t="shared" si="298"/>
        <v>0</v>
      </c>
      <c r="AA128" s="51">
        <f t="shared" si="298"/>
        <v>0</v>
      </c>
      <c r="AB128" s="51">
        <f t="shared" si="283"/>
        <v>0</v>
      </c>
      <c r="AC128" s="50"/>
      <c r="AD128" s="51">
        <f>IF(AD119="Dim",AD124,IF(AD134="ferie",AD124,0))</f>
        <v>0</v>
      </c>
      <c r="AE128" s="51">
        <f t="shared" ref="AE128:AJ128" si="299">IF(AE119="Dim",AE124,IF(AE134="ferie",AE124,0))</f>
        <v>0</v>
      </c>
      <c r="AF128" s="51">
        <f t="shared" si="299"/>
        <v>0</v>
      </c>
      <c r="AG128" s="51">
        <f t="shared" si="299"/>
        <v>0</v>
      </c>
      <c r="AH128" s="51">
        <f t="shared" si="299"/>
        <v>0</v>
      </c>
      <c r="AI128" s="51">
        <f t="shared" si="299"/>
        <v>0</v>
      </c>
      <c r="AJ128" s="51">
        <f t="shared" si="299"/>
        <v>0</v>
      </c>
      <c r="AK128" s="51">
        <f t="shared" si="285"/>
        <v>0</v>
      </c>
      <c r="AL128" s="50"/>
      <c r="AM128" s="51">
        <f>IF(AM119="Dim",AM124,IF(AM134="ferie",AM124,0))</f>
        <v>0</v>
      </c>
      <c r="AN128" s="51">
        <f t="shared" ref="AN128:AW128" si="300">IF(AN119="Dim",AN124,IF(AN134="ferie",AN124,0))</f>
        <v>0</v>
      </c>
      <c r="AO128" s="51">
        <f t="shared" si="300"/>
        <v>0</v>
      </c>
      <c r="AP128" s="51">
        <f t="shared" si="300"/>
        <v>0</v>
      </c>
      <c r="AQ128" s="51">
        <f t="shared" si="300"/>
        <v>0</v>
      </c>
      <c r="AR128" s="51">
        <f t="shared" si="300"/>
        <v>0</v>
      </c>
      <c r="AS128" s="51">
        <f t="shared" si="300"/>
        <v>0</v>
      </c>
      <c r="AT128" s="51">
        <f t="shared" si="287"/>
        <v>0</v>
      </c>
      <c r="AU128" s="50"/>
      <c r="AV128" s="51">
        <f>IF(AV119="Dim",AV124,IF(AV134="ferie",AV124,0))</f>
        <v>0</v>
      </c>
      <c r="AW128" s="51">
        <f t="shared" si="300"/>
        <v>0</v>
      </c>
      <c r="AX128" s="51">
        <f t="shared" ref="AX128:AX133" si="301">SUM(AV128:AW128)</f>
        <v>0</v>
      </c>
      <c r="AY128" s="51">
        <f t="shared" si="289"/>
        <v>0</v>
      </c>
      <c r="AZ128" s="25"/>
      <c r="BA128" s="25"/>
      <c r="BB128" s="25"/>
      <c r="BC128" s="25"/>
      <c r="BD128" s="25"/>
      <c r="BE128" s="25"/>
      <c r="BF128" s="25"/>
      <c r="BG128" s="28"/>
    </row>
    <row r="129" spans="1:59" s="27" customFormat="1" ht="15" customHeight="1">
      <c r="A129" s="47" t="s">
        <v>8</v>
      </c>
      <c r="B129" s="47"/>
      <c r="C129" s="48"/>
      <c r="D129" s="48"/>
      <c r="E129" s="48"/>
      <c r="F129" s="48"/>
      <c r="G129" s="48"/>
      <c r="H129" s="48"/>
      <c r="I129" s="48"/>
      <c r="J129" s="51">
        <f t="shared" ref="J129:J133" si="302">SUM(C129:I129)</f>
        <v>0</v>
      </c>
      <c r="K129" s="47"/>
      <c r="L129" s="48"/>
      <c r="M129" s="48"/>
      <c r="N129" s="48"/>
      <c r="O129" s="48"/>
      <c r="P129" s="48"/>
      <c r="Q129" s="48"/>
      <c r="R129" s="48"/>
      <c r="S129" s="51">
        <f t="shared" ref="S129:S133" si="303">SUM(L129:R129)</f>
        <v>0</v>
      </c>
      <c r="T129" s="47"/>
      <c r="U129" s="48"/>
      <c r="V129" s="48"/>
      <c r="W129" s="48"/>
      <c r="X129" s="48"/>
      <c r="Y129" s="48"/>
      <c r="Z129" s="48"/>
      <c r="AA129" s="48"/>
      <c r="AB129" s="51">
        <f t="shared" ref="AB129:AB133" si="304">SUM(U129:AA129)</f>
        <v>0</v>
      </c>
      <c r="AC129" s="47"/>
      <c r="AD129" s="48"/>
      <c r="AE129" s="48"/>
      <c r="AF129" s="48"/>
      <c r="AG129" s="48"/>
      <c r="AH129" s="48"/>
      <c r="AI129" s="48"/>
      <c r="AJ129" s="48"/>
      <c r="AK129" s="51">
        <f t="shared" ref="AK129:AK133" si="305">SUM(AD129:AJ129)</f>
        <v>0</v>
      </c>
      <c r="AL129" s="47"/>
      <c r="AM129" s="48"/>
      <c r="AN129" s="48"/>
      <c r="AO129" s="48"/>
      <c r="AP129" s="48"/>
      <c r="AQ129" s="48"/>
      <c r="AR129" s="48"/>
      <c r="AS129" s="48"/>
      <c r="AT129" s="51">
        <f t="shared" ref="AT129:AT133" si="306">SUM(AM129:AS129)</f>
        <v>0</v>
      </c>
      <c r="AU129" s="47"/>
      <c r="AV129" s="48"/>
      <c r="AW129" s="48"/>
      <c r="AX129" s="51">
        <f>SUM(AV129:AW129)</f>
        <v>0</v>
      </c>
      <c r="AY129" s="48">
        <f t="shared" si="289"/>
        <v>0</v>
      </c>
      <c r="AZ129" s="39"/>
      <c r="BA129" s="39"/>
      <c r="BB129" s="39"/>
      <c r="BC129" s="39"/>
      <c r="BD129" s="39"/>
      <c r="BE129" s="39"/>
      <c r="BF129" s="29"/>
    </row>
    <row r="130" spans="1:59" s="27" customFormat="1" ht="15" customHeight="1">
      <c r="A130" s="50" t="s">
        <v>9</v>
      </c>
      <c r="B130" s="50"/>
      <c r="C130" s="51"/>
      <c r="D130" s="51"/>
      <c r="E130" s="51"/>
      <c r="F130" s="51"/>
      <c r="G130" s="51"/>
      <c r="H130" s="51"/>
      <c r="I130" s="51"/>
      <c r="J130" s="51">
        <f t="shared" si="302"/>
        <v>0</v>
      </c>
      <c r="K130" s="50"/>
      <c r="L130" s="51"/>
      <c r="M130" s="51"/>
      <c r="N130" s="51"/>
      <c r="O130" s="51"/>
      <c r="P130" s="51"/>
      <c r="Q130" s="51"/>
      <c r="R130" s="51"/>
      <c r="S130" s="51">
        <f t="shared" si="303"/>
        <v>0</v>
      </c>
      <c r="T130" s="50"/>
      <c r="U130" s="51"/>
      <c r="V130" s="51"/>
      <c r="W130" s="51"/>
      <c r="X130" s="51"/>
      <c r="Y130" s="51"/>
      <c r="Z130" s="51"/>
      <c r="AA130" s="51"/>
      <c r="AB130" s="51">
        <f t="shared" si="304"/>
        <v>0</v>
      </c>
      <c r="AC130" s="50"/>
      <c r="AD130" s="51"/>
      <c r="AE130" s="51"/>
      <c r="AF130" s="51"/>
      <c r="AG130" s="51"/>
      <c r="AH130" s="51"/>
      <c r="AI130" s="51"/>
      <c r="AJ130" s="51"/>
      <c r="AK130" s="51">
        <f t="shared" si="305"/>
        <v>0</v>
      </c>
      <c r="AL130" s="50"/>
      <c r="AM130" s="51"/>
      <c r="AN130" s="51"/>
      <c r="AO130" s="51"/>
      <c r="AP130" s="51"/>
      <c r="AQ130" s="51"/>
      <c r="AR130" s="51"/>
      <c r="AS130" s="51"/>
      <c r="AT130" s="51">
        <f t="shared" si="306"/>
        <v>0</v>
      </c>
      <c r="AU130" s="50"/>
      <c r="AV130" s="51"/>
      <c r="AW130" s="51"/>
      <c r="AX130" s="51">
        <f t="shared" si="301"/>
        <v>0</v>
      </c>
      <c r="AY130" s="51">
        <f t="shared" si="289"/>
        <v>0</v>
      </c>
      <c r="AZ130" s="25"/>
      <c r="BA130" s="25"/>
      <c r="BB130" s="25"/>
      <c r="BC130" s="25"/>
      <c r="BD130" s="25"/>
      <c r="BE130" s="25"/>
      <c r="BF130" s="25"/>
      <c r="BG130" s="28"/>
    </row>
    <row r="131" spans="1:59" s="5" customFormat="1" ht="15" customHeight="1">
      <c r="A131" s="47" t="s">
        <v>11</v>
      </c>
      <c r="B131" s="47"/>
      <c r="C131" s="48"/>
      <c r="D131" s="48"/>
      <c r="E131" s="48"/>
      <c r="F131" s="48"/>
      <c r="G131" s="48"/>
      <c r="H131" s="48"/>
      <c r="I131" s="48"/>
      <c r="J131" s="51">
        <f t="shared" si="302"/>
        <v>0</v>
      </c>
      <c r="K131" s="47"/>
      <c r="L131" s="48"/>
      <c r="M131" s="48"/>
      <c r="N131" s="48"/>
      <c r="O131" s="48"/>
      <c r="P131" s="48"/>
      <c r="Q131" s="48"/>
      <c r="R131" s="48"/>
      <c r="S131" s="51">
        <f t="shared" si="303"/>
        <v>0</v>
      </c>
      <c r="T131" s="47"/>
      <c r="U131" s="48"/>
      <c r="V131" s="48"/>
      <c r="W131" s="48"/>
      <c r="X131" s="48"/>
      <c r="Y131" s="48"/>
      <c r="Z131" s="48"/>
      <c r="AA131" s="48"/>
      <c r="AB131" s="51">
        <f t="shared" si="304"/>
        <v>0</v>
      </c>
      <c r="AC131" s="47"/>
      <c r="AD131" s="48"/>
      <c r="AE131" s="48"/>
      <c r="AF131" s="48"/>
      <c r="AG131" s="48"/>
      <c r="AH131" s="48"/>
      <c r="AI131" s="48"/>
      <c r="AJ131" s="48"/>
      <c r="AK131" s="51">
        <f t="shared" si="305"/>
        <v>0</v>
      </c>
      <c r="AL131" s="47"/>
      <c r="AM131" s="48"/>
      <c r="AN131" s="48"/>
      <c r="AO131" s="48"/>
      <c r="AP131" s="48"/>
      <c r="AQ131" s="48"/>
      <c r="AR131" s="48"/>
      <c r="AS131" s="48"/>
      <c r="AT131" s="51">
        <f t="shared" si="306"/>
        <v>0</v>
      </c>
      <c r="AU131" s="47"/>
      <c r="AV131" s="48"/>
      <c r="AW131" s="48"/>
      <c r="AX131" s="51">
        <f t="shared" si="301"/>
        <v>0</v>
      </c>
      <c r="AY131" s="49">
        <f t="shared" si="289"/>
        <v>0</v>
      </c>
      <c r="AZ131" s="39"/>
      <c r="BA131" s="39"/>
      <c r="BB131" s="39"/>
      <c r="BC131" s="39"/>
      <c r="BD131" s="39"/>
      <c r="BE131" s="39"/>
      <c r="BF131" s="29"/>
    </row>
    <row r="132" spans="1:59" s="27" customFormat="1" ht="15" customHeight="1">
      <c r="A132" s="50" t="s">
        <v>10</v>
      </c>
      <c r="B132" s="50"/>
      <c r="C132" s="51"/>
      <c r="D132" s="51"/>
      <c r="E132" s="51"/>
      <c r="F132" s="51"/>
      <c r="G132" s="51"/>
      <c r="H132" s="51"/>
      <c r="I132" s="51"/>
      <c r="J132" s="51">
        <f t="shared" si="302"/>
        <v>0</v>
      </c>
      <c r="K132" s="50"/>
      <c r="L132" s="51"/>
      <c r="M132" s="51"/>
      <c r="N132" s="51"/>
      <c r="O132" s="51"/>
      <c r="P132" s="51"/>
      <c r="Q132" s="51"/>
      <c r="R132" s="51"/>
      <c r="S132" s="51">
        <f t="shared" si="303"/>
        <v>0</v>
      </c>
      <c r="T132" s="50"/>
      <c r="U132" s="51"/>
      <c r="V132" s="51"/>
      <c r="W132" s="51"/>
      <c r="X132" s="51"/>
      <c r="Y132" s="51"/>
      <c r="Z132" s="51"/>
      <c r="AA132" s="51"/>
      <c r="AB132" s="51">
        <f t="shared" si="304"/>
        <v>0</v>
      </c>
      <c r="AC132" s="50"/>
      <c r="AD132" s="51"/>
      <c r="AE132" s="51"/>
      <c r="AF132" s="51"/>
      <c r="AG132" s="51"/>
      <c r="AH132" s="51"/>
      <c r="AI132" s="51"/>
      <c r="AJ132" s="51"/>
      <c r="AK132" s="51">
        <f t="shared" si="305"/>
        <v>0</v>
      </c>
      <c r="AL132" s="50"/>
      <c r="AM132" s="51"/>
      <c r="AN132" s="51"/>
      <c r="AO132" s="51"/>
      <c r="AP132" s="51"/>
      <c r="AQ132" s="51"/>
      <c r="AR132" s="51"/>
      <c r="AS132" s="51"/>
      <c r="AT132" s="51">
        <f t="shared" si="306"/>
        <v>0</v>
      </c>
      <c r="AU132" s="50"/>
      <c r="AV132" s="51"/>
      <c r="AW132" s="51"/>
      <c r="AX132" s="51">
        <f t="shared" si="301"/>
        <v>0</v>
      </c>
      <c r="AY132" s="51">
        <f t="shared" si="289"/>
        <v>0</v>
      </c>
      <c r="AZ132" s="25"/>
      <c r="BA132" s="25"/>
      <c r="BB132" s="25"/>
      <c r="BC132" s="25"/>
      <c r="BD132" s="25"/>
      <c r="BE132" s="25"/>
      <c r="BF132" s="25"/>
      <c r="BG132" s="28"/>
    </row>
    <row r="133" spans="1:59" s="5" customFormat="1" ht="15" customHeight="1">
      <c r="A133" s="47" t="s">
        <v>37</v>
      </c>
      <c r="B133" s="47"/>
      <c r="C133" s="48">
        <f>IF(C121="nuit",C124*0.02,0)</f>
        <v>0</v>
      </c>
      <c r="D133" s="48">
        <f>IF(D121="nuit",D124*0.02,0)</f>
        <v>0</v>
      </c>
      <c r="E133" s="48">
        <f t="shared" ref="E133:I133" si="307">IF(E121="nuit",E124*0.02,0)</f>
        <v>0</v>
      </c>
      <c r="F133" s="48">
        <f t="shared" si="307"/>
        <v>0</v>
      </c>
      <c r="G133" s="48">
        <f>IF(G121="nuit",G124*0.02,0)</f>
        <v>0</v>
      </c>
      <c r="H133" s="48">
        <f t="shared" si="307"/>
        <v>0</v>
      </c>
      <c r="I133" s="48">
        <f t="shared" si="307"/>
        <v>0</v>
      </c>
      <c r="J133" s="51">
        <f t="shared" si="302"/>
        <v>0</v>
      </c>
      <c r="K133" s="47"/>
      <c r="L133" s="48">
        <f>IF(L121="nuit",L124*0.02,0)</f>
        <v>0.16</v>
      </c>
      <c r="M133" s="48">
        <f>IF(M121="nuit",M124*0.02,0)</f>
        <v>0.16</v>
      </c>
      <c r="N133" s="48">
        <f t="shared" ref="N133:R133" si="308">IF(N121="nuit",N124*0.02,0)</f>
        <v>0.16</v>
      </c>
      <c r="O133" s="48">
        <f t="shared" si="308"/>
        <v>0.16</v>
      </c>
      <c r="P133" s="48">
        <f>IF(P121="nuit",P124*0.02,0)</f>
        <v>0.16</v>
      </c>
      <c r="Q133" s="48">
        <f t="shared" si="308"/>
        <v>0</v>
      </c>
      <c r="R133" s="48">
        <f t="shared" si="308"/>
        <v>0</v>
      </c>
      <c r="S133" s="51">
        <f t="shared" si="303"/>
        <v>0.8</v>
      </c>
      <c r="T133" s="47"/>
      <c r="U133" s="48">
        <f>IF(U121="nuit",U124*0.02,0)</f>
        <v>0</v>
      </c>
      <c r="V133" s="48">
        <f>IF(V121="nuit",V124*0.02,0)</f>
        <v>0</v>
      </c>
      <c r="W133" s="48">
        <f t="shared" ref="W133:AA133" si="309">IF(W121="nuit",W124*0.02,0)</f>
        <v>0</v>
      </c>
      <c r="X133" s="48">
        <f t="shared" si="309"/>
        <v>0</v>
      </c>
      <c r="Y133" s="48">
        <f>IF(Y121="nuit",Y124*0.02,0)</f>
        <v>0</v>
      </c>
      <c r="Z133" s="48">
        <f t="shared" si="309"/>
        <v>0</v>
      </c>
      <c r="AA133" s="48">
        <f t="shared" si="309"/>
        <v>0</v>
      </c>
      <c r="AB133" s="51">
        <f t="shared" si="304"/>
        <v>0</v>
      </c>
      <c r="AC133" s="47"/>
      <c r="AD133" s="48">
        <f>IF(AD121="nuit",AD124*0.02,0)</f>
        <v>0</v>
      </c>
      <c r="AE133" s="48">
        <f>IF(AE121="nuit",AE124*0.02,0)</f>
        <v>0</v>
      </c>
      <c r="AF133" s="48">
        <f t="shared" ref="AF133:AJ133" si="310">IF(AF121="nuit",AF124*0.02,0)</f>
        <v>0</v>
      </c>
      <c r="AG133" s="48">
        <f t="shared" si="310"/>
        <v>0</v>
      </c>
      <c r="AH133" s="48">
        <f>IF(AH121="nuit",AH124*0.02,0)</f>
        <v>0</v>
      </c>
      <c r="AI133" s="48">
        <f t="shared" si="310"/>
        <v>0</v>
      </c>
      <c r="AJ133" s="48">
        <f t="shared" si="310"/>
        <v>0</v>
      </c>
      <c r="AK133" s="51">
        <f t="shared" si="305"/>
        <v>0</v>
      </c>
      <c r="AL133" s="47"/>
      <c r="AM133" s="48">
        <f>IF(AM121="nuit",AM124*0.02,0)</f>
        <v>0</v>
      </c>
      <c r="AN133" s="48">
        <f>IF(AN121="nuit",AN124*0.02,0)</f>
        <v>0</v>
      </c>
      <c r="AO133" s="48">
        <f t="shared" ref="AO133:AS133" si="311">IF(AO121="nuit",AO124*0.02,0)</f>
        <v>0</v>
      </c>
      <c r="AP133" s="48">
        <f t="shared" si="311"/>
        <v>0</v>
      </c>
      <c r="AQ133" s="48">
        <f>IF(AQ121="nuit",AQ124*0.02,0)</f>
        <v>0</v>
      </c>
      <c r="AR133" s="48">
        <f t="shared" si="311"/>
        <v>0</v>
      </c>
      <c r="AS133" s="48">
        <f t="shared" si="311"/>
        <v>0</v>
      </c>
      <c r="AT133" s="51">
        <f t="shared" si="306"/>
        <v>0</v>
      </c>
      <c r="AU133" s="47"/>
      <c r="AV133" s="48">
        <f>IF(AV121="nuit",AV124*0.02,0)</f>
        <v>0.16</v>
      </c>
      <c r="AW133" s="48">
        <f>IF(AW121="nuit",AW124*0.02,0)</f>
        <v>0.16</v>
      </c>
      <c r="AX133" s="51">
        <f t="shared" si="301"/>
        <v>0.32</v>
      </c>
      <c r="AY133" s="49">
        <f>J133+S133+AB133+AK133+AT133+AX133</f>
        <v>1.1200000000000001</v>
      </c>
      <c r="AZ133" s="39"/>
      <c r="BA133" s="39"/>
      <c r="BB133" s="39"/>
      <c r="BC133" s="39"/>
      <c r="BD133" s="39"/>
      <c r="BE133" s="39"/>
      <c r="BF133" s="29"/>
    </row>
    <row r="134" spans="1:59" s="27" customFormat="1" ht="15" customHeight="1">
      <c r="A134" s="50" t="s">
        <v>24</v>
      </c>
      <c r="B134" s="50"/>
      <c r="C134" s="51"/>
      <c r="D134" s="51"/>
      <c r="E134" s="51"/>
      <c r="F134" s="51"/>
      <c r="G134" s="51"/>
      <c r="H134" s="51"/>
      <c r="I134" s="51"/>
      <c r="J134" s="51"/>
      <c r="K134" s="50"/>
      <c r="L134" s="51"/>
      <c r="M134" s="51"/>
      <c r="N134" s="51"/>
      <c r="O134" s="51"/>
      <c r="P134" s="51"/>
      <c r="Q134" s="51"/>
      <c r="R134" s="51"/>
      <c r="S134" s="51"/>
      <c r="T134" s="50"/>
      <c r="U134" s="51"/>
      <c r="V134" s="51"/>
      <c r="W134" s="51"/>
      <c r="X134" s="51"/>
      <c r="Y134" s="51"/>
      <c r="Z134" s="51"/>
      <c r="AA134" s="51"/>
      <c r="AB134" s="51"/>
      <c r="AC134" s="50"/>
      <c r="AD134" s="51"/>
      <c r="AE134" s="51"/>
      <c r="AF134" s="51"/>
      <c r="AG134" s="51"/>
      <c r="AH134" s="51"/>
      <c r="AI134" s="51"/>
      <c r="AJ134" s="51"/>
      <c r="AK134" s="51"/>
      <c r="AL134" s="50"/>
      <c r="AM134" s="51"/>
      <c r="AN134" s="51"/>
      <c r="AO134" s="51"/>
      <c r="AP134" s="51"/>
      <c r="AQ134" s="51"/>
      <c r="AR134" s="51"/>
      <c r="AS134" s="51"/>
      <c r="AT134" s="51"/>
      <c r="AU134" s="50"/>
      <c r="AV134" s="51"/>
      <c r="AW134" s="51"/>
      <c r="AX134" s="51"/>
      <c r="AY134" s="51"/>
      <c r="AZ134" s="25"/>
      <c r="BA134" s="25"/>
      <c r="BB134" s="25"/>
      <c r="BC134" s="25"/>
      <c r="BD134" s="25"/>
      <c r="BE134" s="25"/>
      <c r="BF134" s="25"/>
      <c r="BG134" s="28"/>
    </row>
    <row r="135" spans="1:59" s="99" customFormat="1" ht="15" customHeight="1">
      <c r="A135" s="104" t="s">
        <v>112</v>
      </c>
      <c r="B135" s="105"/>
      <c r="C135" s="106" t="str">
        <f>IF(C120="","",IFERROR(VLOOKUP(B119,[2]DATA!$A$12:$H$16,2,TRUE),0))</f>
        <v/>
      </c>
      <c r="D135" s="106" t="str">
        <f>IF(D120="","",IFERROR(VLOOKUP(B119,[2]DATA!$A$12:$H$16,3,TRUE),0))</f>
        <v/>
      </c>
      <c r="E135" s="106" t="str">
        <f>IF(E120="","",IFERROR(VLOOKUP(B119,[2]DATA!$A$12:$H$16,4,TRUE),0))</f>
        <v/>
      </c>
      <c r="F135" s="106" t="str">
        <f>IF(F120="","",IFERROR(VLOOKUP(B119,[2]DATA!$A$12:$H$16,5,TRUE),0))</f>
        <v/>
      </c>
      <c r="G135" s="106" t="str">
        <f>IF(G120="","",IFERROR(VLOOKUP(B119,[2]DATA!$A$12:$H$16,6,TRUE),0))</f>
        <v/>
      </c>
      <c r="H135" s="106"/>
      <c r="I135" s="106"/>
      <c r="J135" s="106">
        <f>SUM(C135:G135)</f>
        <v>0</v>
      </c>
      <c r="K135" s="106"/>
      <c r="L135" s="106">
        <f>IF(L120="","",IFERROR(VLOOKUP(K119,[2]DATA!$A$12:$H$16,2,TRUE),0))</f>
        <v>1</v>
      </c>
      <c r="M135" s="106">
        <f>IF(M120="","",IFERROR(VLOOKUP(K119,[2]DATA!$A$12:$H$16,3,TRUE),0))</f>
        <v>1</v>
      </c>
      <c r="N135" s="106">
        <f>IF(N120="","",IFERROR(VLOOKUP(K119,[2]DATA!$A$12:$H$16,4,TRUE),0))</f>
        <v>1</v>
      </c>
      <c r="O135" s="106">
        <f>IF(O120="","",IFERROR(VLOOKUP(K119,[2]DATA!$A$12:$H$16,5,TRUE),0))</f>
        <v>1</v>
      </c>
      <c r="P135" s="106">
        <f>IF(P120="","",IFERROR(VLOOKUP(K119,[2]DATA!$A$12:$H$16,6,TRUE),0))</f>
        <v>1</v>
      </c>
      <c r="Q135" s="106"/>
      <c r="R135" s="106"/>
      <c r="S135" s="106">
        <f>SUM(L135:P135)</f>
        <v>5</v>
      </c>
      <c r="T135" s="106"/>
      <c r="U135" s="106">
        <f>IF(U120="","",IFERROR(VLOOKUP(T119,[2]DATA!$A$12:$H$16,2,TRUE),0))</f>
        <v>1</v>
      </c>
      <c r="V135" s="106">
        <f>IF(V120="","",IFERROR(VLOOKUP(T119,[2]DATA!$A$12:$H$16,3,TRUE),0))</f>
        <v>0</v>
      </c>
      <c r="W135" s="106">
        <f>IF(W120="","",IFERROR(VLOOKUP(T119,[2]DATA!$A$12:$H$16,4,TRUE),0))</f>
        <v>0</v>
      </c>
      <c r="X135" s="106">
        <f>IF(X120="","",IFERROR(VLOOKUP(T119,[2]DATA!$A$12:$H$16,5,TRUE),0))</f>
        <v>1</v>
      </c>
      <c r="Y135" s="106">
        <f>IF(Y120="","",IFERROR(VLOOKUP(T119,[2]DATA!$A$12:$H$16,6,TRUE),0))</f>
        <v>1</v>
      </c>
      <c r="Z135" s="106"/>
      <c r="AA135" s="106"/>
      <c r="AB135" s="106">
        <f>SUM(U135:Y135)</f>
        <v>3</v>
      </c>
      <c r="AC135" s="106"/>
      <c r="AD135" s="106">
        <f>IF(AD120="","",IFERROR(VLOOKUP(AC119,[2]DATA!$A$12:$H$16,2,TRUE),0))</f>
        <v>1</v>
      </c>
      <c r="AE135" s="106">
        <f>IF(AE120="","",IFERROR(VLOOKUP(AC119,[2]DATA!$A$12:$H$16,3,TRUE),0))</f>
        <v>1</v>
      </c>
      <c r="AF135" s="106">
        <f>IF(AF120="","",IFERROR(VLOOKUP(AC119,[2]DATA!$A$12:$H$16,4,TRUE),0))</f>
        <v>1</v>
      </c>
      <c r="AG135" s="106">
        <f>IF(AG120="","",IFERROR(VLOOKUP(AC119,[2]DATA!$A$12:$H$16,5,TRUE),0))</f>
        <v>1</v>
      </c>
      <c r="AH135" s="106">
        <f>IF(AH120="","",IFERROR(VLOOKUP(AC119,[2]DATA!$A$12:$H$16,6,TRUE),0))</f>
        <v>1</v>
      </c>
      <c r="AI135" s="106"/>
      <c r="AJ135" s="106"/>
      <c r="AK135" s="106">
        <f>SUM(AD135:AH135)</f>
        <v>5</v>
      </c>
      <c r="AL135" s="106"/>
      <c r="AM135" s="106">
        <f>IF(AM120="","",IFERROR(VLOOKUP(AL119,[2]DATA!$A$12:$H$16,2,TRUE),0))</f>
        <v>1</v>
      </c>
      <c r="AN135" s="106">
        <f>IF(AN120="","",IFERROR(VLOOKUP(AL119,[2]DATA!$A$12:$H$16,3,TRUE),0))</f>
        <v>1</v>
      </c>
      <c r="AO135" s="106">
        <f>IF(AO120="","",IFERROR(VLOOKUP(AL119,[2]DATA!$A$12:$H$16,4,TRUE),0))</f>
        <v>1</v>
      </c>
      <c r="AP135" s="106">
        <f>IF(AP120="","",IFERROR(VLOOKUP(AL119,[2]DATA!$A$12:$H$16,5,TRUE),0))</f>
        <v>0</v>
      </c>
      <c r="AQ135" s="106">
        <f>IF(AQ120="","",IFERROR(VLOOKUP(AL119,[2]DATA!$A$12:$H$16,6,TRUE),0))</f>
        <v>0</v>
      </c>
      <c r="AR135" s="106"/>
      <c r="AS135" s="106"/>
      <c r="AT135" s="106">
        <f>SUM(AM135:AQ135)</f>
        <v>3</v>
      </c>
      <c r="AU135" s="106"/>
      <c r="AV135" s="106">
        <f>IF(AV120="","",IFERROR(VLOOKUP(AU119,[2]DATA!$A$12:$H$16,2,TRUE),0))</f>
        <v>1</v>
      </c>
      <c r="AW135" s="106">
        <f>IF(AW120="","",IFERROR(VLOOKUP(AU119,[2]DATA!$A$12:$H$16,3,TRUE),0))</f>
        <v>1</v>
      </c>
      <c r="AX135" s="106">
        <f>SUM(AV135:AW135)</f>
        <v>2</v>
      </c>
      <c r="AY135" s="107"/>
      <c r="AZ135" s="34"/>
      <c r="BA135" s="34"/>
      <c r="BB135" s="34"/>
      <c r="BC135" s="34"/>
      <c r="BD135" s="34"/>
      <c r="BE135" s="34"/>
      <c r="BF135" s="98"/>
    </row>
    <row r="136" spans="1:59" s="99" customFormat="1" ht="15" customHeight="1">
      <c r="A136" s="108" t="s">
        <v>113</v>
      </c>
      <c r="B136" s="109"/>
      <c r="C136" s="53"/>
      <c r="D136" s="53"/>
      <c r="E136" s="53"/>
      <c r="F136" s="53"/>
      <c r="G136" s="53"/>
      <c r="H136" s="53"/>
      <c r="I136" s="53"/>
      <c r="J136" s="53">
        <f>J123-J135</f>
        <v>0</v>
      </c>
      <c r="K136" s="53"/>
      <c r="L136" s="53"/>
      <c r="M136" s="53"/>
      <c r="N136" s="53"/>
      <c r="O136" s="53"/>
      <c r="P136" s="53"/>
      <c r="Q136" s="53"/>
      <c r="R136" s="53"/>
      <c r="S136" s="53">
        <f>S123-S135</f>
        <v>0</v>
      </c>
      <c r="T136" s="53"/>
      <c r="U136" s="53"/>
      <c r="V136" s="53"/>
      <c r="W136" s="53"/>
      <c r="X136" s="53"/>
      <c r="Y136" s="53"/>
      <c r="Z136" s="53"/>
      <c r="AA136" s="53"/>
      <c r="AB136" s="53">
        <f>AB123-AB135</f>
        <v>0</v>
      </c>
      <c r="AC136" s="53"/>
      <c r="AD136" s="53"/>
      <c r="AE136" s="53"/>
      <c r="AF136" s="53"/>
      <c r="AG136" s="53"/>
      <c r="AH136" s="53"/>
      <c r="AI136" s="53"/>
      <c r="AJ136" s="53"/>
      <c r="AK136" s="53">
        <f>AK123-AK135</f>
        <v>0</v>
      </c>
      <c r="AL136" s="53"/>
      <c r="AM136" s="53"/>
      <c r="AN136" s="53"/>
      <c r="AO136" s="53"/>
      <c r="AP136" s="53"/>
      <c r="AQ136" s="53"/>
      <c r="AR136" s="53"/>
      <c r="AS136" s="53"/>
      <c r="AT136" s="53">
        <f>AT123-AT135</f>
        <v>0</v>
      </c>
      <c r="AU136" s="53"/>
      <c r="AV136" s="53"/>
      <c r="AW136" s="53"/>
      <c r="AX136" s="53">
        <f>AX123-AX135</f>
        <v>0</v>
      </c>
      <c r="AY136" s="110">
        <f>AT136+AK136+AB136+S136+J136</f>
        <v>0</v>
      </c>
      <c r="AZ136" s="34"/>
      <c r="BA136" s="34"/>
      <c r="BB136" s="34"/>
      <c r="BC136" s="34"/>
      <c r="BD136" s="34"/>
      <c r="BE136" s="34"/>
      <c r="BF136" s="98"/>
    </row>
    <row r="137" spans="1:59" ht="27">
      <c r="A137" s="16"/>
      <c r="B137" s="16"/>
      <c r="C137" s="101" t="s">
        <v>19</v>
      </c>
      <c r="D137" s="101"/>
      <c r="E137" s="101"/>
      <c r="F137" s="101"/>
      <c r="G137" s="101"/>
      <c r="H137" s="112">
        <f>Année_Calendaire</f>
        <v>2018</v>
      </c>
      <c r="I137" s="112"/>
      <c r="J137" s="94"/>
      <c r="K137" s="43"/>
      <c r="L137" s="102"/>
      <c r="M137" s="102"/>
      <c r="N137" s="102"/>
      <c r="O137" s="102"/>
      <c r="P137" s="102"/>
      <c r="Q137" s="102"/>
      <c r="R137" s="102"/>
      <c r="S137" s="36"/>
      <c r="T137" s="43"/>
      <c r="U137" s="101" t="s">
        <v>19</v>
      </c>
      <c r="V137" s="101"/>
      <c r="W137" s="101"/>
      <c r="X137" s="101"/>
      <c r="Y137" s="101"/>
      <c r="Z137" s="112">
        <f>Année_Calendaire</f>
        <v>2018</v>
      </c>
      <c r="AA137" s="112"/>
      <c r="AB137" s="36"/>
      <c r="AC137" s="43"/>
      <c r="AD137" s="102"/>
      <c r="AE137" s="102"/>
      <c r="AF137" s="102"/>
      <c r="AG137" s="102"/>
      <c r="AH137" s="102"/>
      <c r="AI137" s="102"/>
      <c r="AJ137" s="102"/>
      <c r="AK137" s="36"/>
      <c r="AL137" s="43"/>
      <c r="AM137" s="101" t="s">
        <v>19</v>
      </c>
      <c r="AN137" s="101"/>
      <c r="AO137" s="101"/>
      <c r="AP137" s="101"/>
      <c r="AQ137" s="101"/>
      <c r="AR137" s="112">
        <f>Année_Calendaire</f>
        <v>2018</v>
      </c>
      <c r="AS137" s="112"/>
      <c r="AT137" s="36"/>
      <c r="AU137" s="43"/>
      <c r="AV137" s="25"/>
      <c r="AW137" s="25"/>
      <c r="AX137" s="36"/>
    </row>
    <row r="138" spans="1:59" s="22" customFormat="1" ht="29.25" customHeight="1">
      <c r="A138" s="35"/>
      <c r="B138" s="54" t="str">
        <f>IF(C138="",AU119,LEFT(AU119)&amp;MOD(RIGHT(AU119),4)+1)</f>
        <v>c2</v>
      </c>
      <c r="C138" s="100" t="str">
        <f>IF(C139&lt;&gt;"","Lun","")</f>
        <v/>
      </c>
      <c r="D138" s="100" t="str">
        <f>IF(D139&lt;&gt;"","Mar","")</f>
        <v/>
      </c>
      <c r="E138" s="100" t="str">
        <f>IF(E139&lt;&gt;"","Mer","")</f>
        <v>Mer</v>
      </c>
      <c r="F138" s="100" t="str">
        <f>IF(F139&lt;&gt;"","Jeu","")</f>
        <v>Jeu</v>
      </c>
      <c r="G138" s="100" t="str">
        <f>IF(G139&lt;&gt;"","Ven","")</f>
        <v>Ven</v>
      </c>
      <c r="H138" s="100" t="str">
        <f>IF(H139&lt;&gt;"","Sam","")</f>
        <v>Sam</v>
      </c>
      <c r="I138" s="100" t="str">
        <f>IF(I139&lt;&gt;"","Dim","")</f>
        <v>Dim</v>
      </c>
      <c r="J138" s="113" t="s">
        <v>25</v>
      </c>
      <c r="K138" s="54" t="str">
        <f>IF(L138="",LEFT(B138)&amp;MOD(RIGHT(B138),5),LEFT(B138)&amp;MOD(RIGHT(B138),4)+1)</f>
        <v>c3</v>
      </c>
      <c r="L138" s="100" t="str">
        <f>IF(L139&lt;&gt;"","Lun","")</f>
        <v>Lun</v>
      </c>
      <c r="M138" s="100" t="str">
        <f>IF(M139&lt;&gt;"","Mar","")</f>
        <v>Mar</v>
      </c>
      <c r="N138" s="100" t="str">
        <f>IF(N139&lt;&gt;"","Mer","")</f>
        <v>Mer</v>
      </c>
      <c r="O138" s="100" t="str">
        <f>IF(O139&lt;&gt;"","Jeu","")</f>
        <v>Jeu</v>
      </c>
      <c r="P138" s="100" t="str">
        <f>IF(P139&lt;&gt;"","Ven","")</f>
        <v>Ven</v>
      </c>
      <c r="Q138" s="100" t="str">
        <f>IF(Q139&lt;&gt;"","Sam","")</f>
        <v>Sam</v>
      </c>
      <c r="R138" s="100" t="str">
        <f>IF(R139&lt;&gt;"","Dim","")</f>
        <v>Dim</v>
      </c>
      <c r="S138" s="113" t="s">
        <v>25</v>
      </c>
      <c r="T138" s="54" t="str">
        <f>IF(U138="",LEFT(K138)&amp;MOD(RIGHT(K138),5),LEFT(K138)&amp;MOD(RIGHT(K138),4)+1)</f>
        <v>c4</v>
      </c>
      <c r="U138" s="100" t="str">
        <f>IF(U139&lt;&gt;"","Lun","")</f>
        <v>Lun</v>
      </c>
      <c r="V138" s="100" t="str">
        <f>IF(V139&lt;&gt;"","Mar","")</f>
        <v>Mar</v>
      </c>
      <c r="W138" s="100" t="str">
        <f>IF(W139&lt;&gt;"","Mer","")</f>
        <v>Mer</v>
      </c>
      <c r="X138" s="100" t="str">
        <f>IF(X139&lt;&gt;"","Jeu","")</f>
        <v>Jeu</v>
      </c>
      <c r="Y138" s="100" t="str">
        <f>IF(Y139&lt;&gt;"","Ven","")</f>
        <v>Ven</v>
      </c>
      <c r="Z138" s="100" t="str">
        <f>IF(Z139&lt;&gt;"","Sam","")</f>
        <v>Sam</v>
      </c>
      <c r="AA138" s="100" t="str">
        <f>IF(AA139&lt;&gt;"","Dim","")</f>
        <v>Dim</v>
      </c>
      <c r="AB138" s="113" t="s">
        <v>25</v>
      </c>
      <c r="AC138" s="54" t="str">
        <f>IF(AD138="",LEFT(T138)&amp;MOD(RIGHT(T138),5),LEFT(T138)&amp;MOD(RIGHT(T138),4)+1)</f>
        <v>c1</v>
      </c>
      <c r="AD138" s="100" t="str">
        <f>IF(AD139&lt;&gt;"","Lun","")</f>
        <v>Lun</v>
      </c>
      <c r="AE138" s="100" t="str">
        <f>IF(AE139&lt;&gt;"","Mar","")</f>
        <v>Mar</v>
      </c>
      <c r="AF138" s="100" t="str">
        <f>IF(AF139&lt;&gt;"","Mer","")</f>
        <v>Mer</v>
      </c>
      <c r="AG138" s="100" t="str">
        <f>IF(AG139&lt;&gt;"","Jeu","")</f>
        <v>Jeu</v>
      </c>
      <c r="AH138" s="100" t="str">
        <f>IF(AH139&lt;&gt;"","Ven","")</f>
        <v>Ven</v>
      </c>
      <c r="AI138" s="100" t="str">
        <f>IF(AI139&lt;&gt;"","Sam","")</f>
        <v>Sam</v>
      </c>
      <c r="AJ138" s="100" t="str">
        <f>IF(AJ139&lt;&gt;"","Dim","")</f>
        <v>Dim</v>
      </c>
      <c r="AK138" s="113" t="s">
        <v>25</v>
      </c>
      <c r="AL138" s="54" t="str">
        <f>IF(AM138="",LEFT(AC138)&amp;MOD(RIGHT(AC138),5),LEFT(AC138)&amp;MOD(RIGHT(AC138),4)+1)</f>
        <v>c2</v>
      </c>
      <c r="AM138" s="100" t="str">
        <f>IF(AM139&lt;&gt;"","Lun","")</f>
        <v>Lun</v>
      </c>
      <c r="AN138" s="100" t="str">
        <f>IF(AN139&lt;&gt;"","Mar","")</f>
        <v>Mar</v>
      </c>
      <c r="AO138" s="100" t="str">
        <f>IF(AO139&lt;&gt;"","Mer","")</f>
        <v>Mer</v>
      </c>
      <c r="AP138" s="100" t="str">
        <f>IF(AP139&lt;&gt;"","Jeu","")</f>
        <v>Jeu</v>
      </c>
      <c r="AQ138" s="100" t="str">
        <f>IF(AQ139&lt;&gt;"","Ven","")</f>
        <v>Ven</v>
      </c>
      <c r="AR138" s="100" t="str">
        <f>IF(AR139&lt;&gt;"","Sam","")</f>
        <v/>
      </c>
      <c r="AS138" s="100" t="str">
        <f>IF(AS139&lt;&gt;"","Dim","")</f>
        <v/>
      </c>
      <c r="AT138" s="113" t="s">
        <v>25</v>
      </c>
      <c r="AU138" s="54" t="str">
        <f>IF(AV138="",LEFT(AL138)&amp;MOD(RIGHT(AL138),5),LEFT(AL138)&amp;MOD(RIGHT(AL138),4)+1)</f>
        <v>c2</v>
      </c>
      <c r="AV138" s="52" t="str">
        <f>IF(AV139&lt;&gt;"","Lun","")</f>
        <v/>
      </c>
      <c r="AW138" s="52" t="str">
        <f>IF(AW139&lt;&gt;"","Mar","")</f>
        <v/>
      </c>
      <c r="AX138" s="113" t="s">
        <v>25</v>
      </c>
      <c r="AY138" s="113" t="s">
        <v>28</v>
      </c>
      <c r="AZ138" s="114">
        <f>AY145+AY146+AY147</f>
        <v>0</v>
      </c>
      <c r="BA138" s="114">
        <f>AZ138+BA119</f>
        <v>0</v>
      </c>
      <c r="BB138" s="38"/>
      <c r="BC138" s="38"/>
      <c r="BD138" s="38"/>
      <c r="BE138" s="38"/>
      <c r="BF138" s="33"/>
    </row>
    <row r="139" spans="1:59" s="24" customFormat="1" ht="15" customHeight="1">
      <c r="A139" s="10"/>
      <c r="B139" s="53"/>
      <c r="C139" s="85" t="str">
        <f>IF(DAY(Aoû_Dim1)=1,"",IF(AND(YEAR(Aoû_Dim1+1)=Année_Calendaire,MONTH(Aoû_Dim1+1)=8),Aoû_Dim1+1,""))</f>
        <v/>
      </c>
      <c r="D139" s="85" t="str">
        <f>IF(DAY(Aoû_Dim1)=1,"",IF(AND(YEAR(Aoû_Dim1+2)=Année_Calendaire,MONTH(Aoû_Dim1+2)=8),Aoû_Dim1+2,""))</f>
        <v/>
      </c>
      <c r="E139" s="85">
        <f>IF(DAY(Aoû_Dim1)=1,"",IF(AND(YEAR(Aoû_Dim1+3)=Année_Calendaire,MONTH(Aoû_Dim1+3)=8),Aoû_Dim1+3,""))</f>
        <v>43313</v>
      </c>
      <c r="F139" s="85">
        <f>IF(DAY(Aoû_Dim1)=1,"",IF(AND(YEAR(Aoû_Dim1+4)=Année_Calendaire,MONTH(Aoû_Dim1+4)=8),Aoû_Dim1+4,""))</f>
        <v>43314</v>
      </c>
      <c r="G139" s="85">
        <f>IF(DAY(Aoû_Dim1)=1,"",IF(AND(YEAR(Aoû_Dim1+5)=Année_Calendaire,MONTH(Aoû_Dim1+5)=8),Aoû_Dim1+5,""))</f>
        <v>43315</v>
      </c>
      <c r="H139" s="85">
        <f>IF(DAY(Aoû_Dim1)=1,"",IF(AND(YEAR(Aoû_Dim1+6)=Année_Calendaire,MONTH(Aoû_Dim1+6)=8),Aoû_Dim1+6,""))</f>
        <v>43316</v>
      </c>
      <c r="I139" s="85">
        <f>IF(DAY(Aoû_Dim1)=1,IF(AND(YEAR(Aoû_Dim1)=Année_Calendaire,MONTH(Aoû_Dim1)=8),Aoû_Dim1,""),IF(AND(YEAR(Aoû_Dim1+7)=Année_Calendaire,MONTH(Aoû_Dim1+7)=8),Aoû_Dim1+7,""))</f>
        <v>43317</v>
      </c>
      <c r="J139" s="113"/>
      <c r="K139" s="53"/>
      <c r="L139" s="85">
        <f>IF(DAY(Aoû_Dim1)=1,IF(AND(YEAR(Aoû_Dim1+1)=Année_Calendaire,MONTH(Aoû_Dim1+1)=8),Aoû_Dim1+1,""),IF(AND(YEAR(Aoû_Dim1+8)=Année_Calendaire,MONTH(Aoû_Dim1+8)=8),Aoû_Dim1+8,""))</f>
        <v>43318</v>
      </c>
      <c r="M139" s="85">
        <f>IF(DAY(Aoû_Dim1)=1,IF(AND(YEAR(Aoû_Dim1+2)=Année_Calendaire,MONTH(Aoû_Dim1+2)=8),Aoû_Dim1+2,""),IF(AND(YEAR(Aoû_Dim1+9)=Année_Calendaire,MONTH(Aoû_Dim1+9)=8),Aoû_Dim1+9,""))</f>
        <v>43319</v>
      </c>
      <c r="N139" s="85">
        <f>IF(DAY(Aoû_Dim1)=1,IF(AND(YEAR(Aoû_Dim1+3)=Année_Calendaire,MONTH(Aoû_Dim1+3)=8),Aoû_Dim1+3,""),IF(AND(YEAR(Aoû_Dim1+10)=Année_Calendaire,MONTH(Aoû_Dim1+10)=8),Aoû_Dim1+10,""))</f>
        <v>43320</v>
      </c>
      <c r="O139" s="85">
        <f>IF(DAY(Aoû_Dim1)=1,IF(AND(YEAR(Aoû_Dim1+4)=Année_Calendaire,MONTH(Aoû_Dim1+4)=8),Aoû_Dim1+4,""),IF(AND(YEAR(Aoû_Dim1+11)=Année_Calendaire,MONTH(Aoû_Dim1+11)=8),Aoû_Dim1+11,""))</f>
        <v>43321</v>
      </c>
      <c r="P139" s="85">
        <f>IF(DAY(Aoû_Dim1)=1,IF(AND(YEAR(Aoû_Dim1+5)=Année_Calendaire,MONTH(Aoû_Dim1+5)=8),Aoû_Dim1+5,""),IF(AND(YEAR(Aoû_Dim1+12)=Année_Calendaire,MONTH(Aoû_Dim1+12)=8),Aoû_Dim1+12,""))</f>
        <v>43322</v>
      </c>
      <c r="Q139" s="85">
        <f>IF(DAY(Aoû_Dim1)=1,IF(AND(YEAR(Aoû_Dim1+6)=Année_Calendaire,MONTH(Aoû_Dim1+6)=8),Aoû_Dim1+6,""),IF(AND(YEAR(Aoû_Dim1+13)=Année_Calendaire,MONTH(Aoû_Dim1+13)=8),Aoû_Dim1+13,""))</f>
        <v>43323</v>
      </c>
      <c r="R139" s="85">
        <f>IF(DAY(Aoû_Dim1)=1,IF(AND(YEAR(Aoû_Dim1+7)=Année_Calendaire,MONTH(Aoû_Dim1+7)=8),Aoû_Dim1+7,""),IF(AND(YEAR(Aoû_Dim1+14)=Année_Calendaire,MONTH(Aoû_Dim1+14)=8),Aoû_Dim1+14,""))</f>
        <v>43324</v>
      </c>
      <c r="S139" s="113"/>
      <c r="T139" s="53"/>
      <c r="U139" s="85">
        <f>IF(DAY(Aoû_Dim1)=1,IF(AND(YEAR(Aoû_Dim1+8)=Année_Calendaire,MONTH(Aoû_Dim1+8)=8),Aoû_Dim1+8,""),IF(AND(YEAR(Aoû_Dim1+15)=Année_Calendaire,MONTH(Aoû_Dim1+15)=8),Aoû_Dim1+15,""))</f>
        <v>43325</v>
      </c>
      <c r="V139" s="85">
        <f>IF(DAY(Aoû_Dim1)=1,IF(AND(YEAR(Aoû_Dim1+9)=Année_Calendaire,MONTH(Aoû_Dim1+9)=8),Aoû_Dim1+9,""),IF(AND(YEAR(Aoû_Dim1+16)=Année_Calendaire,MONTH(Aoû_Dim1+16)=8),Aoû_Dim1+16,""))</f>
        <v>43326</v>
      </c>
      <c r="W139" s="85">
        <f>IF(DAY(Aoû_Dim1)=1,IF(AND(YEAR(Aoû_Dim1+10)=Année_Calendaire,MONTH(Aoû_Dim1+10)=8),Aoû_Dim1+10,""),IF(AND(YEAR(Aoû_Dim1+17)=Année_Calendaire,MONTH(Aoû_Dim1+17)=8),Aoû_Dim1+17,""))</f>
        <v>43327</v>
      </c>
      <c r="X139" s="85">
        <f>IF(DAY(Aoû_Dim1)=1,IF(AND(YEAR(Aoû_Dim1+11)=Année_Calendaire,MONTH(Aoû_Dim1+11)=8),Aoû_Dim1+11,""),IF(AND(YEAR(Aoû_Dim1+18)=Année_Calendaire,MONTH(Aoû_Dim1+18)=8),Aoû_Dim1+18,""))</f>
        <v>43328</v>
      </c>
      <c r="Y139" s="85">
        <f>IF(DAY(Aoû_Dim1)=1,IF(AND(YEAR(Aoû_Dim1+12)=Année_Calendaire,MONTH(Aoû_Dim1+12)=8),Aoû_Dim1+12,""),IF(AND(YEAR(Aoû_Dim1+19)=Année_Calendaire,MONTH(Aoû_Dim1+19)=8),Aoû_Dim1+19,""))</f>
        <v>43329</v>
      </c>
      <c r="Z139" s="85">
        <f>IF(DAY(Aoû_Dim1)=1,IF(AND(YEAR(Aoû_Dim1+13)=Année_Calendaire,MONTH(Aoû_Dim1+13)=8),Aoû_Dim1+13,""),IF(AND(YEAR(Aoû_Dim1+20)=Année_Calendaire,MONTH(Aoû_Dim1+20)=8),Aoû_Dim1+20,""))</f>
        <v>43330</v>
      </c>
      <c r="AA139" s="85">
        <f>IF(DAY(Aoû_Dim1)=1,IF(AND(YEAR(Aoû_Dim1+14)=Année_Calendaire,MONTH(Aoû_Dim1+14)=8),Aoû_Dim1+14,""),IF(AND(YEAR(Aoû_Dim1+21)=Année_Calendaire,MONTH(Aoû_Dim1+21)=8),Aoû_Dim1+21,""))</f>
        <v>43331</v>
      </c>
      <c r="AB139" s="113"/>
      <c r="AC139" s="53"/>
      <c r="AD139" s="85">
        <f>IF(DAY(Aoû_Dim1)=1,IF(AND(YEAR(Aoû_Dim1+15)=Année_Calendaire,MONTH(Aoû_Dim1+15)=8),Aoû_Dim1+15,""),IF(AND(YEAR(Aoû_Dim1+22)=Année_Calendaire,MONTH(Aoû_Dim1+22)=8),Aoû_Dim1+22,""))</f>
        <v>43332</v>
      </c>
      <c r="AE139" s="85">
        <f>IF(DAY(Aoû_Dim1)=1,IF(AND(YEAR(Aoû_Dim1+16)=Année_Calendaire,MONTH(Aoû_Dim1+16)=8),Aoû_Dim1+16,""),IF(AND(YEAR(Aoû_Dim1+23)=Année_Calendaire,MONTH(Aoû_Dim1+23)=8),Aoû_Dim1+23,""))</f>
        <v>43333</v>
      </c>
      <c r="AF139" s="85">
        <f>IF(DAY(Aoû_Dim1)=1,IF(AND(YEAR(Aoû_Dim1+17)=Année_Calendaire,MONTH(Aoû_Dim1+17)=8),Aoû_Dim1+17,""),IF(AND(YEAR(Aoû_Dim1+24)=Année_Calendaire,MONTH(Aoû_Dim1+24)=8),Aoû_Dim1+24,""))</f>
        <v>43334</v>
      </c>
      <c r="AG139" s="87">
        <f>IF(DAY(Aoû_Dim1)=1,IF(AND(YEAR(Aoû_Dim1+18)=Année_Calendaire,MONTH(Aoû_Dim1+18)=8),Aoû_Dim1+18,""),IF(AND(YEAR(Aoû_Dim1+25)=Année_Calendaire,MONTH(Aoû_Dim1+25)=8),Aoû_Dim1+25,""))</f>
        <v>43335</v>
      </c>
      <c r="AH139" s="85">
        <f>IF(DAY(Aoû_Dim1)=1,IF(AND(YEAR(Aoû_Dim1+19)=Année_Calendaire,MONTH(Aoû_Dim1+19)=8),Aoû_Dim1+19,""),IF(AND(YEAR(Aoû_Dim1+26)=Année_Calendaire,MONTH(Aoû_Dim1+26)=8),Aoû_Dim1+26,""))</f>
        <v>43336</v>
      </c>
      <c r="AI139" s="85">
        <f>IF(DAY(Aoû_Dim1)=1,IF(AND(YEAR(Aoû_Dim1+20)=Année_Calendaire,MONTH(Aoû_Dim1+20)=8),Aoû_Dim1+20,""),IF(AND(YEAR(Aoû_Dim1+27)=Année_Calendaire,MONTH(Aoû_Dim1+27)=8),Aoû_Dim1+27,""))</f>
        <v>43337</v>
      </c>
      <c r="AJ139" s="85">
        <f>IF(DAY(Aoû_Dim1)=1,IF(AND(YEAR(Aoû_Dim1+21)=Année_Calendaire,MONTH(Aoû_Dim1+21)=8),Aoû_Dim1+21,""),IF(AND(YEAR(Aoû_Dim1+28)=Année_Calendaire,MONTH(Aoû_Dim1+28)=8),Aoû_Dim1+28,""))</f>
        <v>43338</v>
      </c>
      <c r="AK139" s="113"/>
      <c r="AL139" s="53"/>
      <c r="AM139" s="85">
        <f>IF(DAY(Aoû_Dim1)=1,IF(AND(YEAR(Aoû_Dim1+22)=Année_Calendaire,MONTH(Aoû_Dim1+22)=8),Aoû_Dim1+22,""),IF(AND(YEAR(Aoû_Dim1+29)=Année_Calendaire,MONTH(Aoû_Dim1+29)=8),Aoû_Dim1+29,""))</f>
        <v>43339</v>
      </c>
      <c r="AN139" s="85">
        <f>IF(DAY(Aoû_Dim1)=1,IF(AND(YEAR(Aoû_Dim1+23)=Année_Calendaire,MONTH(Aoû_Dim1+23)=8),Aoû_Dim1+23,""),IF(AND(YEAR(Aoû_Dim1+30)=Année_Calendaire,MONTH(Aoû_Dim1+30)=8),Aoû_Dim1+30,""))</f>
        <v>43340</v>
      </c>
      <c r="AO139" s="85">
        <f>IF(DAY(Aoû_Dim1)=1,IF(AND(YEAR(Aoû_Dim1+24)=Année_Calendaire,MONTH(Aoû_Dim1+24)=8),Aoû_Dim1+24,""),IF(AND(YEAR(Aoû_Dim1+31)=Année_Calendaire,MONTH(Aoû_Dim1+31)=8),Aoû_Dim1+31,""))</f>
        <v>43341</v>
      </c>
      <c r="AP139" s="85">
        <f>IF(DAY(Aoû_Dim1)=1,IF(AND(YEAR(Aoû_Dim1+25)=Année_Calendaire,MONTH(Aoû_Dim1+25)=8),Aoû_Dim1+25,""),IF(AND(YEAR(Aoû_Dim1+32)=Année_Calendaire,MONTH(Aoû_Dim1+32)=8),Aoû_Dim1+32,""))</f>
        <v>43342</v>
      </c>
      <c r="AQ139" s="85">
        <f>IF(DAY(Aoû_Dim1)=1,IF(AND(YEAR(Aoû_Dim1+26)=Année_Calendaire,MONTH(Aoû_Dim1+26)=8),Aoû_Dim1+26,""),IF(AND(YEAR(Aoû_Dim1+33)=Année_Calendaire,MONTH(Aoû_Dim1+33)=8),Aoû_Dim1+33,""))</f>
        <v>43343</v>
      </c>
      <c r="AR139" s="85" t="str">
        <f>IF(DAY(Aoû_Dim1)=1,IF(AND(YEAR(Aoû_Dim1+27)=Année_Calendaire,MONTH(Aoû_Dim1+27)=8),Aoû_Dim1+27,""),IF(AND(YEAR(Aoû_Dim1+34)=Année_Calendaire,MONTH(Aoû_Dim1+34)=8),Aoû_Dim1+34,""))</f>
        <v/>
      </c>
      <c r="AS139" s="85" t="str">
        <f>IF(DAY(Aoû_Dim1)=1,IF(AND(YEAR(Aoû_Dim1+28)=Année_Calendaire,MONTH(Aoû_Dim1+28)=8),Aoû_Dim1+28,""),IF(AND(YEAR(Aoû_Dim1+35)=Année_Calendaire,MONTH(Aoû_Dim1+35)=8),Aoû_Dim1+35,""))</f>
        <v/>
      </c>
      <c r="AT139" s="113"/>
      <c r="AU139" s="53"/>
      <c r="AV139" s="53" t="str">
        <f>IF(DAY(Aoû_Dim1)=1,IF(AND(YEAR(Aoû_Dim1+29)=Année_Calendaire,MONTH(Aoû_Dim1+29)=8),Aoû_Dim1+29,""),IF(AND(YEAR(Aoû_Dim1+36)=Année_Calendaire,MONTH(Aoû_Dim1+36)=8),Aoû_Dim1+36,""))</f>
        <v/>
      </c>
      <c r="AW139" s="53" t="str">
        <f>IF(DAY(Aoû_Dim1)=1,IF(AND(YEAR(Aoû_Dim1+30)=Année_Calendaire,MONTH(Aoû_Dim1+30)=8),Aoû_Dim1+30,""),IF(AND(YEAR(Aoû_Dim1+37)=Année_Calendaire,MONTH(Aoû_Dim1+37)=8),Aoû_Dim1+37,""))</f>
        <v/>
      </c>
      <c r="AX139" s="113"/>
      <c r="AY139" s="113"/>
      <c r="AZ139" s="114"/>
      <c r="BA139" s="114"/>
      <c r="BB139" s="31"/>
      <c r="BC139" s="31"/>
      <c r="BD139" s="31"/>
      <c r="BE139" s="31"/>
      <c r="BF139" s="23"/>
    </row>
    <row r="140" spans="1:59" s="5" customFormat="1" ht="15" customHeight="1">
      <c r="A140" s="47" t="s">
        <v>2</v>
      </c>
      <c r="B140" s="47"/>
      <c r="C140" s="48" t="str">
        <f>IF(C139="","",IFERROR(VLOOKUP(B138,DATA!$A$5:$H$9,2,TRUE),0))</f>
        <v/>
      </c>
      <c r="D140" s="48" t="str">
        <f>IF(D139="","",IFERROR(VLOOKUP(B138,DATA!$A$5:$H$9,3,TRUE),0))</f>
        <v/>
      </c>
      <c r="E140" s="48" t="str">
        <f>IF(E139="","",IFERROR(VLOOKUP(B138,DATA!$A$5:$H$9,4,TRUE),0))</f>
        <v>nuit</v>
      </c>
      <c r="F140" s="48" t="str">
        <f>IF(F139="","",IFERROR(VLOOKUP(B138,DATA!$A$5:$H$9,5,TRUE),0))</f>
        <v>nuit</v>
      </c>
      <c r="G140" s="48" t="str">
        <f>IF(G139="","",IFERROR(VLOOKUP(B138,DATA!$A$5:$H$9,6,TRUE),0))</f>
        <v>nuit</v>
      </c>
      <c r="H140" s="48">
        <f>IF(H139="","",IFERROR(VLOOKUP(B138,DATA!$A$5:$H$9,7,TRUE),0))</f>
        <v>0</v>
      </c>
      <c r="I140" s="48">
        <f>IF(I139="","",IFERROR(VLOOKUP(B138,DATA!$A$5:$H$9,8,TRUE),0))</f>
        <v>0</v>
      </c>
      <c r="J140" s="51">
        <f>IF(B138="c1",24,IF((B138="c3"),24,40))</f>
        <v>40</v>
      </c>
      <c r="K140" s="47"/>
      <c r="L140" s="48" t="str">
        <f>IF(L139="","",IFERROR(VLOOKUP(K138,DATA!$A$5:$H$9,2,TRUE),0))</f>
        <v>matin</v>
      </c>
      <c r="M140" s="48">
        <f>IF(M139="","",IFERROR(VLOOKUP(K138,DATA!$A$5:$H$9,3,TRUE),0))</f>
        <v>0</v>
      </c>
      <c r="N140" s="48">
        <f>IF(N139="","",IFERROR(VLOOKUP(K138,DATA!$A$5:$H$9,4,TRUE),0))</f>
        <v>0</v>
      </c>
      <c r="O140" s="48" t="str">
        <f>IF(O139="","",IFERROR(VLOOKUP(K138,DATA!$A$5:$H$9,5,TRUE),0))</f>
        <v>matin</v>
      </c>
      <c r="P140" s="48" t="str">
        <f>IF(P139="","",IFERROR(VLOOKUP(K138,DATA!$A$5:$H$9,6,TRUE),0))</f>
        <v>matin</v>
      </c>
      <c r="Q140" s="48">
        <f>IF(Q139="","",IFERROR(VLOOKUP(K138,DATA!$A$5:$H$9,7,TRUE),0))</f>
        <v>0</v>
      </c>
      <c r="R140" s="48">
        <f>IF(R139="","",IFERROR(VLOOKUP(K138,DATA!$A$5:$H$9,8,TRUE),0))</f>
        <v>0</v>
      </c>
      <c r="S140" s="51">
        <f>IF(K138="c1",24,IF((K138="c3"),24,40))</f>
        <v>24</v>
      </c>
      <c r="T140" s="47"/>
      <c r="U140" s="48" t="str">
        <f>IF(U139="","",IFERROR(VLOOKUP(T138,DATA!$A$5:$H$9,2,TRUE),0))</f>
        <v>am</v>
      </c>
      <c r="V140" s="48" t="str">
        <f>IF(V139="","",IFERROR(VLOOKUP(T138,DATA!$A$5:$H$9,3,TRUE),0))</f>
        <v>am</v>
      </c>
      <c r="W140" s="48" t="str">
        <f>IF(W139="","",IFERROR(VLOOKUP(T138,DATA!$A$5:$H$9,4,TRUE),0))</f>
        <v>am</v>
      </c>
      <c r="X140" s="48" t="str">
        <f>IF(X139="","",IFERROR(VLOOKUP(T138,DATA!$A$5:$H$9,5,TRUE),0))</f>
        <v>am</v>
      </c>
      <c r="Y140" s="48" t="str">
        <f>IF(Y139="","",IFERROR(VLOOKUP(T138,DATA!$A$5:$H$9,6,TRUE),0))</f>
        <v>am</v>
      </c>
      <c r="Z140" s="48">
        <f>IF(Z139="","",IFERROR(VLOOKUP(T138,DATA!$A$5:$H$9,7,TRUE),0))</f>
        <v>0</v>
      </c>
      <c r="AA140" s="48">
        <f>IF(AA139="","",IFERROR(VLOOKUP(T138,DATA!$A$5:$H$9,8,TRUE),0))</f>
        <v>0</v>
      </c>
      <c r="AB140" s="51">
        <f>IF(T138="c1",24,IF((T138="c3"),24,40))</f>
        <v>40</v>
      </c>
      <c r="AC140" s="47"/>
      <c r="AD140" s="48" t="str">
        <f>IF(AD139="","",IFERROR(VLOOKUP(AC138,DATA!$A$5:$H$9,2,TRUE),0))</f>
        <v>matin</v>
      </c>
      <c r="AE140" s="48" t="str">
        <f>IF(AE139="","",IFERROR(VLOOKUP(AC138,DATA!$A$5:$H$9,3,TRUE),0))</f>
        <v>matin</v>
      </c>
      <c r="AF140" s="48" t="str">
        <f>IF(AF139="","",IFERROR(VLOOKUP(AC138,DATA!$A$5:$H$9,4,TRUE),0))</f>
        <v>matin</v>
      </c>
      <c r="AG140" s="48">
        <f>IF(AG139="","",IFERROR(VLOOKUP(AC138,DATA!$A$5:$H$9,5,TRUE),0))</f>
        <v>0</v>
      </c>
      <c r="AH140" s="48">
        <f>IF(AH139="","",IFERROR(VLOOKUP(AC138,DATA!$A$5:$H$9,6,TRUE),0))</f>
        <v>0</v>
      </c>
      <c r="AI140" s="48">
        <f>IF(AI139="","",IFERROR(VLOOKUP(AC138,DATA!$A$5:$H$9,7,TRUE),0))</f>
        <v>0</v>
      </c>
      <c r="AJ140" s="48">
        <f>IF(AJ139="","",IFERROR(VLOOKUP(AC138,DATA!$A$5:$H$9,8,TRUE),0))</f>
        <v>0</v>
      </c>
      <c r="AK140" s="51">
        <f>IF(AC138="c1",24,IF((AC138="c3"),24,40))</f>
        <v>24</v>
      </c>
      <c r="AL140" s="47"/>
      <c r="AM140" s="48" t="str">
        <f>IF(AM139="","",IFERROR(VLOOKUP(AL138,DATA!$A$5:$H$9,2,TRUE),0))</f>
        <v>nuit</v>
      </c>
      <c r="AN140" s="48" t="str">
        <f>IF(AN139="","",IFERROR(VLOOKUP(AL138,DATA!$A$5:$H$9,3,TRUE),0))</f>
        <v>nuit</v>
      </c>
      <c r="AO140" s="48" t="str">
        <f>IF(AO139="","",IFERROR(VLOOKUP(AL138,DATA!$A$5:$H$9,4,TRUE),0))</f>
        <v>nuit</v>
      </c>
      <c r="AP140" s="48" t="str">
        <f>IF(AP139="","",IFERROR(VLOOKUP(AL138,DATA!$A$5:$H$9,5,TRUE),0))</f>
        <v>nuit</v>
      </c>
      <c r="AQ140" s="48" t="str">
        <f>IF(AQ139="","",IFERROR(VLOOKUP(AL138,DATA!$A$5:$H$9,6,TRUE),0))</f>
        <v>nuit</v>
      </c>
      <c r="AR140" s="48" t="str">
        <f>IF(AR139="","",IFERROR(VLOOKUP(AL138,DATA!$A$5:$H$9,7,TRUE),0))</f>
        <v/>
      </c>
      <c r="AS140" s="48" t="str">
        <f>IF(AS139="","",IFERROR(VLOOKUP(AL138,DATA!$A$5:$H$9,8,TRUE),0))</f>
        <v/>
      </c>
      <c r="AT140" s="51">
        <f>IF(AL138="c1",24,IF((AL138="c3"),24,40))</f>
        <v>40</v>
      </c>
      <c r="AU140" s="47"/>
      <c r="AV140" s="48" t="str">
        <f>IF(AV139="","",IFERROR(VLOOKUP(AU138,DATA!$A$5:$H$9,2,TRUE),0))</f>
        <v/>
      </c>
      <c r="AW140" s="48" t="str">
        <f>IF(AW139="","",IFERROR(VLOOKUP(AU138,DATA!$A$5:$H$9,3,TRUE),0))</f>
        <v/>
      </c>
      <c r="AX140" s="51">
        <f>IF(AP138="c1",24,IF((AP138="c3"),24,40))</f>
        <v>40</v>
      </c>
      <c r="AY140" s="49"/>
      <c r="AZ140" s="39"/>
      <c r="BA140" s="39"/>
      <c r="BB140" s="39"/>
      <c r="BC140" s="39"/>
      <c r="BD140" s="39"/>
      <c r="BE140" s="39"/>
      <c r="BF140" s="29"/>
    </row>
    <row r="141" spans="1:59" s="27" customFormat="1" ht="15" customHeight="1">
      <c r="A141" s="50" t="s">
        <v>12</v>
      </c>
      <c r="B141" s="50"/>
      <c r="C141" s="51">
        <f t="shared" ref="C141:I141" si="312">IF(C140="Matin",1,IF(C140="AM",1,0))</f>
        <v>0</v>
      </c>
      <c r="D141" s="51">
        <f t="shared" si="312"/>
        <v>0</v>
      </c>
      <c r="E141" s="51">
        <f t="shared" si="312"/>
        <v>0</v>
      </c>
      <c r="F141" s="51">
        <f t="shared" si="312"/>
        <v>0</v>
      </c>
      <c r="G141" s="51">
        <f t="shared" si="312"/>
        <v>0</v>
      </c>
      <c r="H141" s="51">
        <f t="shared" si="312"/>
        <v>0</v>
      </c>
      <c r="I141" s="51">
        <f t="shared" si="312"/>
        <v>0</v>
      </c>
      <c r="J141" s="51">
        <f>SUM(C141:I141)</f>
        <v>0</v>
      </c>
      <c r="K141" s="50"/>
      <c r="L141" s="51">
        <f t="shared" ref="L141:R141" si="313">IF(L140="Matin",1,IF(L140="AM",1,0))</f>
        <v>1</v>
      </c>
      <c r="M141" s="51">
        <f t="shared" si="313"/>
        <v>0</v>
      </c>
      <c r="N141" s="51">
        <f t="shared" si="313"/>
        <v>0</v>
      </c>
      <c r="O141" s="51">
        <f t="shared" si="313"/>
        <v>1</v>
      </c>
      <c r="P141" s="51">
        <f t="shared" si="313"/>
        <v>1</v>
      </c>
      <c r="Q141" s="51">
        <f t="shared" si="313"/>
        <v>0</v>
      </c>
      <c r="R141" s="51">
        <f t="shared" si="313"/>
        <v>0</v>
      </c>
      <c r="S141" s="51">
        <f>SUM(L141:R141)</f>
        <v>3</v>
      </c>
      <c r="T141" s="50"/>
      <c r="U141" s="51">
        <f t="shared" ref="U141:AA141" si="314">IF(U140="Matin",1,IF(U140="AM",1,0))</f>
        <v>1</v>
      </c>
      <c r="V141" s="51">
        <f t="shared" si="314"/>
        <v>1</v>
      </c>
      <c r="W141" s="51">
        <f t="shared" si="314"/>
        <v>1</v>
      </c>
      <c r="X141" s="51">
        <f t="shared" si="314"/>
        <v>1</v>
      </c>
      <c r="Y141" s="51">
        <f t="shared" si="314"/>
        <v>1</v>
      </c>
      <c r="Z141" s="51">
        <f t="shared" si="314"/>
        <v>0</v>
      </c>
      <c r="AA141" s="51">
        <f t="shared" si="314"/>
        <v>0</v>
      </c>
      <c r="AB141" s="51">
        <f>SUM(U141:AA141)</f>
        <v>5</v>
      </c>
      <c r="AC141" s="50"/>
      <c r="AD141" s="51">
        <f t="shared" ref="AD141:AJ141" si="315">IF(AD140="Matin",1,IF(AD140="AM",1,0))</f>
        <v>1</v>
      </c>
      <c r="AE141" s="51">
        <f t="shared" si="315"/>
        <v>1</v>
      </c>
      <c r="AF141" s="51">
        <f t="shared" si="315"/>
        <v>1</v>
      </c>
      <c r="AG141" s="51">
        <f t="shared" si="315"/>
        <v>0</v>
      </c>
      <c r="AH141" s="51">
        <f t="shared" si="315"/>
        <v>0</v>
      </c>
      <c r="AI141" s="51">
        <f t="shared" si="315"/>
        <v>0</v>
      </c>
      <c r="AJ141" s="51">
        <f t="shared" si="315"/>
        <v>0</v>
      </c>
      <c r="AK141" s="51">
        <f>SUM(AD141:AJ141)</f>
        <v>3</v>
      </c>
      <c r="AL141" s="50"/>
      <c r="AM141" s="51">
        <f t="shared" ref="AM141:AS141" si="316">IF(AM140="Matin",1,IF(AM140="AM",1,0))</f>
        <v>0</v>
      </c>
      <c r="AN141" s="51">
        <f t="shared" si="316"/>
        <v>0</v>
      </c>
      <c r="AO141" s="51">
        <f t="shared" si="316"/>
        <v>0</v>
      </c>
      <c r="AP141" s="51">
        <f t="shared" si="316"/>
        <v>0</v>
      </c>
      <c r="AQ141" s="51">
        <f t="shared" si="316"/>
        <v>0</v>
      </c>
      <c r="AR141" s="51">
        <f t="shared" si="316"/>
        <v>0</v>
      </c>
      <c r="AS141" s="51">
        <f t="shared" si="316"/>
        <v>0</v>
      </c>
      <c r="AT141" s="51">
        <f>SUM(AM141:AS141)</f>
        <v>0</v>
      </c>
      <c r="AU141" s="50"/>
      <c r="AV141" s="51">
        <f t="shared" ref="AV141:AW141" si="317">IF(AV140="Matin",1,IF(AV140="AM",1,0))</f>
        <v>0</v>
      </c>
      <c r="AW141" s="51">
        <f t="shared" si="317"/>
        <v>0</v>
      </c>
      <c r="AX141" s="51">
        <f>SUM(AV141:AW141)</f>
        <v>0</v>
      </c>
      <c r="AY141" s="51">
        <f>J141+S141+AB141+AK141+AT141+AX141</f>
        <v>11</v>
      </c>
      <c r="AZ141" s="25"/>
      <c r="BA141" s="25"/>
      <c r="BB141" s="25"/>
      <c r="BC141" s="25"/>
      <c r="BD141" s="25"/>
      <c r="BE141" s="25"/>
      <c r="BF141" s="25"/>
      <c r="BG141" s="28"/>
    </row>
    <row r="142" spans="1:59" s="27" customFormat="1" ht="15" customHeight="1">
      <c r="A142" s="47" t="s">
        <v>4</v>
      </c>
      <c r="B142" s="47"/>
      <c r="C142" s="48">
        <f>IF(C143&gt;=1,1,0)</f>
        <v>0</v>
      </c>
      <c r="D142" s="48">
        <f>IF(D143&gt;=1,1,0)</f>
        <v>0</v>
      </c>
      <c r="E142" s="48">
        <f t="shared" ref="E142:I142" si="318">IF(E143&gt;=1,1,0)</f>
        <v>1</v>
      </c>
      <c r="F142" s="48">
        <f t="shared" si="318"/>
        <v>1</v>
      </c>
      <c r="G142" s="48">
        <f t="shared" si="318"/>
        <v>1</v>
      </c>
      <c r="H142" s="48">
        <f t="shared" si="318"/>
        <v>0</v>
      </c>
      <c r="I142" s="48">
        <f t="shared" si="318"/>
        <v>0</v>
      </c>
      <c r="J142" s="51">
        <f t="shared" ref="J142:J147" si="319">SUM(C142:I142)</f>
        <v>3</v>
      </c>
      <c r="K142" s="47"/>
      <c r="L142" s="48">
        <f>IF(L143&gt;=1,1,0)</f>
        <v>1</v>
      </c>
      <c r="M142" s="48">
        <f t="shared" ref="M142:R142" si="320">IF(M143&gt;=1,1,0)</f>
        <v>0</v>
      </c>
      <c r="N142" s="48">
        <f t="shared" si="320"/>
        <v>0</v>
      </c>
      <c r="O142" s="48">
        <f t="shared" si="320"/>
        <v>1</v>
      </c>
      <c r="P142" s="48">
        <f t="shared" si="320"/>
        <v>1</v>
      </c>
      <c r="Q142" s="48">
        <f t="shared" si="320"/>
        <v>0</v>
      </c>
      <c r="R142" s="48">
        <f t="shared" si="320"/>
        <v>0</v>
      </c>
      <c r="S142" s="51">
        <f t="shared" ref="S142:S147" si="321">SUM(L142:R142)</f>
        <v>3</v>
      </c>
      <c r="T142" s="47"/>
      <c r="U142" s="48">
        <f>IF(U143&gt;=1,1,0)</f>
        <v>1</v>
      </c>
      <c r="V142" s="48">
        <f t="shared" ref="V142:AA142" si="322">IF(V143&gt;=1,1,0)</f>
        <v>1</v>
      </c>
      <c r="W142" s="48">
        <f t="shared" si="322"/>
        <v>1</v>
      </c>
      <c r="X142" s="48">
        <f t="shared" si="322"/>
        <v>1</v>
      </c>
      <c r="Y142" s="48">
        <f t="shared" si="322"/>
        <v>1</v>
      </c>
      <c r="Z142" s="48">
        <f t="shared" si="322"/>
        <v>0</v>
      </c>
      <c r="AA142" s="48">
        <f t="shared" si="322"/>
        <v>0</v>
      </c>
      <c r="AB142" s="51">
        <f t="shared" ref="AB142:AB147" si="323">SUM(U142:AA142)</f>
        <v>5</v>
      </c>
      <c r="AC142" s="47"/>
      <c r="AD142" s="48">
        <f>IF(AD143&gt;=1,1,0)</f>
        <v>1</v>
      </c>
      <c r="AE142" s="48">
        <f t="shared" ref="AE142:AJ142" si="324">IF(AE143&gt;=1,1,0)</f>
        <v>1</v>
      </c>
      <c r="AF142" s="48">
        <f t="shared" si="324"/>
        <v>1</v>
      </c>
      <c r="AG142" s="48">
        <f t="shared" si="324"/>
        <v>0</v>
      </c>
      <c r="AH142" s="48">
        <f t="shared" si="324"/>
        <v>0</v>
      </c>
      <c r="AI142" s="48">
        <f t="shared" si="324"/>
        <v>0</v>
      </c>
      <c r="AJ142" s="48">
        <f t="shared" si="324"/>
        <v>0</v>
      </c>
      <c r="AK142" s="51">
        <f t="shared" ref="AK142:AK147" si="325">SUM(AD142:AJ142)</f>
        <v>3</v>
      </c>
      <c r="AL142" s="47"/>
      <c r="AM142" s="48">
        <f>IF(AM143&gt;=1,1,0)</f>
        <v>1</v>
      </c>
      <c r="AN142" s="48">
        <f t="shared" ref="AN142:AS142" si="326">IF(AN143&gt;=1,1,0)</f>
        <v>1</v>
      </c>
      <c r="AO142" s="48">
        <f t="shared" si="326"/>
        <v>1</v>
      </c>
      <c r="AP142" s="48">
        <f t="shared" si="326"/>
        <v>1</v>
      </c>
      <c r="AQ142" s="48">
        <f t="shared" si="326"/>
        <v>1</v>
      </c>
      <c r="AR142" s="48">
        <f t="shared" si="326"/>
        <v>0</v>
      </c>
      <c r="AS142" s="48">
        <f t="shared" si="326"/>
        <v>0</v>
      </c>
      <c r="AT142" s="51">
        <f t="shared" ref="AT142:AT147" si="327">SUM(AM142:AS142)</f>
        <v>5</v>
      </c>
      <c r="AU142" s="47"/>
      <c r="AV142" s="48">
        <f>IF(AV143&gt;=1,1,0)</f>
        <v>0</v>
      </c>
      <c r="AW142" s="48">
        <f t="shared" ref="AW142" si="328">IF(AW143&gt;=1,1,0)</f>
        <v>0</v>
      </c>
      <c r="AX142" s="51">
        <f>SUM(AV142:AW142)</f>
        <v>0</v>
      </c>
      <c r="AY142" s="48">
        <f t="shared" ref="AY142:AY151" si="329">J142+S142+AB142+AK142+AT142+AX142</f>
        <v>19</v>
      </c>
      <c r="AZ142" s="39"/>
      <c r="BA142" s="39"/>
      <c r="BB142" s="39"/>
      <c r="BC142" s="39"/>
      <c r="BD142" s="39"/>
      <c r="BE142" s="39"/>
      <c r="BF142" s="29"/>
    </row>
    <row r="143" spans="1:59" s="27" customFormat="1" ht="15" customHeight="1">
      <c r="A143" s="50" t="s">
        <v>3</v>
      </c>
      <c r="B143" s="50"/>
      <c r="C143" s="51">
        <f>IF(C140="Matin",8,IF(C140="AM",8,IF(C140="nuit",8,0)))</f>
        <v>0</v>
      </c>
      <c r="D143" s="51">
        <f t="shared" ref="D143:I143" si="330">IF(D140="Matin",8,IF(D140="AM",8,IF(D140="nuit",8,0)))</f>
        <v>0</v>
      </c>
      <c r="E143" s="51">
        <f t="shared" si="330"/>
        <v>8</v>
      </c>
      <c r="F143" s="51">
        <f t="shared" si="330"/>
        <v>8</v>
      </c>
      <c r="G143" s="51">
        <f t="shared" si="330"/>
        <v>8</v>
      </c>
      <c r="H143" s="51">
        <f t="shared" si="330"/>
        <v>0</v>
      </c>
      <c r="I143" s="51">
        <f t="shared" si="330"/>
        <v>0</v>
      </c>
      <c r="J143" s="51">
        <f t="shared" si="319"/>
        <v>24</v>
      </c>
      <c r="K143" s="50"/>
      <c r="L143" s="51">
        <f>IF(L140="Matin",8,IF(L140="AM",8,IF(L140="nuit",8,0)))</f>
        <v>8</v>
      </c>
      <c r="M143" s="51">
        <f t="shared" ref="M143:R143" si="331">IF(M140="Matin",8,IF(M140="AM",8,IF(M140="nuit",8,0)))</f>
        <v>0</v>
      </c>
      <c r="N143" s="51">
        <f t="shared" si="331"/>
        <v>0</v>
      </c>
      <c r="O143" s="51">
        <f t="shared" si="331"/>
        <v>8</v>
      </c>
      <c r="P143" s="51">
        <f t="shared" si="331"/>
        <v>8</v>
      </c>
      <c r="Q143" s="51">
        <f t="shared" si="331"/>
        <v>0</v>
      </c>
      <c r="R143" s="51">
        <f t="shared" si="331"/>
        <v>0</v>
      </c>
      <c r="S143" s="51">
        <f t="shared" si="321"/>
        <v>24</v>
      </c>
      <c r="T143" s="50"/>
      <c r="U143" s="51">
        <f>IF(U140="Matin",8,IF(U140="AM",8,IF(U140="nuit",8,0)))</f>
        <v>8</v>
      </c>
      <c r="V143" s="51">
        <f t="shared" ref="V143:AA143" si="332">IF(V140="Matin",8,IF(V140="AM",8,IF(V140="nuit",8,0)))</f>
        <v>8</v>
      </c>
      <c r="W143" s="51">
        <f t="shared" si="332"/>
        <v>8</v>
      </c>
      <c r="X143" s="51">
        <f t="shared" si="332"/>
        <v>8</v>
      </c>
      <c r="Y143" s="51">
        <f t="shared" si="332"/>
        <v>8</v>
      </c>
      <c r="Z143" s="51">
        <f t="shared" si="332"/>
        <v>0</v>
      </c>
      <c r="AA143" s="51">
        <f t="shared" si="332"/>
        <v>0</v>
      </c>
      <c r="AB143" s="51">
        <f t="shared" si="323"/>
        <v>40</v>
      </c>
      <c r="AC143" s="50"/>
      <c r="AD143" s="51">
        <f>IF(AD140="Matin",8,IF(AD140="AM",8,IF(AD140="nuit",8,0)))</f>
        <v>8</v>
      </c>
      <c r="AE143" s="51">
        <f t="shared" ref="AE143:AJ143" si="333">IF(AE140="Matin",8,IF(AE140="AM",8,IF(AE140="nuit",8,0)))</f>
        <v>8</v>
      </c>
      <c r="AF143" s="51">
        <f t="shared" si="333"/>
        <v>8</v>
      </c>
      <c r="AG143" s="51">
        <f t="shared" si="333"/>
        <v>0</v>
      </c>
      <c r="AH143" s="51">
        <f t="shared" si="333"/>
        <v>0</v>
      </c>
      <c r="AI143" s="51">
        <f t="shared" si="333"/>
        <v>0</v>
      </c>
      <c r="AJ143" s="51">
        <f t="shared" si="333"/>
        <v>0</v>
      </c>
      <c r="AK143" s="51">
        <f t="shared" si="325"/>
        <v>24</v>
      </c>
      <c r="AL143" s="50"/>
      <c r="AM143" s="51">
        <f>IF(AM140="Matin",8,IF(AM140="AM",8,IF(AM140="nuit",8,0)))</f>
        <v>8</v>
      </c>
      <c r="AN143" s="51">
        <f t="shared" ref="AN143:AS143" si="334">IF(AN140="Matin",8,IF(AN140="AM",8,IF(AN140="nuit",8,0)))</f>
        <v>8</v>
      </c>
      <c r="AO143" s="51">
        <f t="shared" si="334"/>
        <v>8</v>
      </c>
      <c r="AP143" s="51">
        <f t="shared" si="334"/>
        <v>8</v>
      </c>
      <c r="AQ143" s="51">
        <f t="shared" si="334"/>
        <v>8</v>
      </c>
      <c r="AR143" s="51">
        <f t="shared" si="334"/>
        <v>0</v>
      </c>
      <c r="AS143" s="51">
        <f t="shared" si="334"/>
        <v>0</v>
      </c>
      <c r="AT143" s="51">
        <f t="shared" si="327"/>
        <v>40</v>
      </c>
      <c r="AU143" s="50"/>
      <c r="AV143" s="51">
        <f>IF(AV140="Matin",8,IF(AV140="AM",8,IF(AV140="nuit",8,0)))</f>
        <v>0</v>
      </c>
      <c r="AW143" s="51">
        <f t="shared" ref="AW143" si="335">IF(AW140="Matin",8,IF(AW140="AM",8,IF(AW140="nuit",8,0)))</f>
        <v>0</v>
      </c>
      <c r="AX143" s="51">
        <f>SUM(AV143:AW143)</f>
        <v>0</v>
      </c>
      <c r="AY143" s="51">
        <f t="shared" si="329"/>
        <v>152</v>
      </c>
      <c r="AZ143" s="25"/>
      <c r="BA143" s="25"/>
      <c r="BB143" s="25"/>
      <c r="BC143" s="25"/>
      <c r="BD143" s="25"/>
      <c r="BE143" s="25"/>
      <c r="BF143" s="25"/>
      <c r="BG143" s="28"/>
    </row>
    <row r="144" spans="1:59" s="5" customFormat="1" ht="15" customHeight="1">
      <c r="A144" s="47" t="s">
        <v>13</v>
      </c>
      <c r="B144" s="47"/>
      <c r="C144" s="48"/>
      <c r="D144" s="48"/>
      <c r="E144" s="48"/>
      <c r="F144" s="48"/>
      <c r="G144" s="48"/>
      <c r="H144" s="48"/>
      <c r="I144" s="48"/>
      <c r="J144" s="51">
        <f>MAX(MIN(DATA!$D$22-DATA!$C$22,Travail!J143-Travail!J140-I143),0)</f>
        <v>0</v>
      </c>
      <c r="K144" s="47"/>
      <c r="L144" s="48"/>
      <c r="M144" s="48"/>
      <c r="N144" s="48"/>
      <c r="O144" s="48"/>
      <c r="P144" s="48"/>
      <c r="Q144" s="48"/>
      <c r="R144" s="48"/>
      <c r="S144" s="51">
        <f>MAX(MIN(DATA!$D$22-DATA!$C$22,Travail!S143-Travail!S140-R143),0)</f>
        <v>0</v>
      </c>
      <c r="T144" s="47"/>
      <c r="U144" s="48"/>
      <c r="V144" s="48"/>
      <c r="W144" s="48"/>
      <c r="X144" s="48"/>
      <c r="Y144" s="48"/>
      <c r="Z144" s="48"/>
      <c r="AA144" s="48"/>
      <c r="AB144" s="51">
        <f>MAX(MIN(DATA!$D$22-DATA!$C$22,Travail!AB143-Travail!AB140-AA143),0)</f>
        <v>0</v>
      </c>
      <c r="AC144" s="47"/>
      <c r="AD144" s="48"/>
      <c r="AE144" s="48"/>
      <c r="AF144" s="48"/>
      <c r="AG144" s="48"/>
      <c r="AH144" s="48"/>
      <c r="AI144" s="48"/>
      <c r="AJ144" s="48"/>
      <c r="AK144" s="51">
        <f>MAX(MIN(DATA!$D$22-DATA!$C$22,Travail!AK143-Travail!AK140-AJ143),0)</f>
        <v>0</v>
      </c>
      <c r="AL144" s="47"/>
      <c r="AM144" s="48"/>
      <c r="AN144" s="48"/>
      <c r="AO144" s="48"/>
      <c r="AP144" s="48"/>
      <c r="AQ144" s="48"/>
      <c r="AR144" s="48"/>
      <c r="AS144" s="48"/>
      <c r="AT144" s="51">
        <f>MAX(MIN(DATA!$D$22-DATA!$C$22,Travail!AT143-Travail!AT140-AS143),0)</f>
        <v>0</v>
      </c>
      <c r="AU144" s="47"/>
      <c r="AV144" s="48"/>
      <c r="AW144" s="48"/>
      <c r="AX144" s="51">
        <f>MAX(MIN(DATA!$D$22-DATA!$C$22,Travail!AX143-Travail!AX140),0)</f>
        <v>0</v>
      </c>
      <c r="AY144" s="49">
        <f t="shared" si="329"/>
        <v>0</v>
      </c>
      <c r="AZ144" s="39"/>
      <c r="BA144" s="39"/>
      <c r="BB144" s="39"/>
      <c r="BC144" s="39"/>
      <c r="BD144" s="39"/>
      <c r="BE144" s="39"/>
      <c r="BF144" s="29"/>
    </row>
    <row r="145" spans="1:59" s="27" customFormat="1" ht="15" customHeight="1">
      <c r="A145" s="50" t="s">
        <v>6</v>
      </c>
      <c r="B145" s="50"/>
      <c r="C145" s="51"/>
      <c r="D145" s="51"/>
      <c r="E145" s="51"/>
      <c r="F145" s="51"/>
      <c r="G145" s="51"/>
      <c r="H145" s="51"/>
      <c r="I145" s="51"/>
      <c r="J145" s="51">
        <f>MAX(MIN(DATA!$E$22-DATA!$D$22,Travail!J143-Travail!J140-Travail!J144-I143),0)</f>
        <v>0</v>
      </c>
      <c r="K145" s="50"/>
      <c r="L145" s="51"/>
      <c r="M145" s="51"/>
      <c r="N145" s="51"/>
      <c r="O145" s="51"/>
      <c r="P145" s="51"/>
      <c r="Q145" s="51"/>
      <c r="R145" s="51"/>
      <c r="S145" s="51">
        <f>MAX(MIN(DATA!$E$22-DATA!$D$22,Travail!S143-Travail!S140-Travail!S144-R143),0)</f>
        <v>0</v>
      </c>
      <c r="T145" s="50"/>
      <c r="U145" s="51"/>
      <c r="V145" s="51"/>
      <c r="W145" s="51"/>
      <c r="X145" s="51"/>
      <c r="Y145" s="51"/>
      <c r="Z145" s="51"/>
      <c r="AA145" s="51"/>
      <c r="AB145" s="51">
        <f>MAX(MIN(DATA!$E$22-DATA!$D$22,Travail!AB143-Travail!AB140-Travail!AB144-AA143),0)</f>
        <v>0</v>
      </c>
      <c r="AC145" s="50"/>
      <c r="AD145" s="51"/>
      <c r="AE145" s="51"/>
      <c r="AF145" s="51"/>
      <c r="AG145" s="51"/>
      <c r="AH145" s="51"/>
      <c r="AI145" s="51"/>
      <c r="AJ145" s="51"/>
      <c r="AK145" s="51">
        <f>MAX(MIN(DATA!$E$22-DATA!$D$22,Travail!AK143-Travail!AK140-Travail!AK144-AJ143),0)</f>
        <v>0</v>
      </c>
      <c r="AL145" s="50"/>
      <c r="AM145" s="51"/>
      <c r="AN145" s="51"/>
      <c r="AO145" s="51"/>
      <c r="AP145" s="51"/>
      <c r="AQ145" s="51"/>
      <c r="AR145" s="51"/>
      <c r="AS145" s="51"/>
      <c r="AT145" s="51">
        <f>MAX(MIN(DATA!$E$22-DATA!$D$22,Travail!AT143-Travail!AT140-Travail!AT144-AS143),0)</f>
        <v>0</v>
      </c>
      <c r="AU145" s="50"/>
      <c r="AV145" s="51"/>
      <c r="AW145" s="51"/>
      <c r="AX145" s="51">
        <f>MAX(MIN(DATA!$E$22-DATA!$D$22,Travail!AX143-Travail!AX140-Travail!AX144),0)</f>
        <v>0</v>
      </c>
      <c r="AY145" s="51">
        <f t="shared" si="329"/>
        <v>0</v>
      </c>
      <c r="AZ145" s="25"/>
      <c r="BA145" s="25"/>
      <c r="BB145" s="25"/>
      <c r="BC145" s="25"/>
      <c r="BD145" s="25"/>
      <c r="BE145" s="25"/>
      <c r="BF145" s="25"/>
      <c r="BG145" s="28"/>
    </row>
    <row r="146" spans="1:59" s="5" customFormat="1" ht="15" customHeight="1">
      <c r="A146" s="47" t="s">
        <v>5</v>
      </c>
      <c r="B146" s="47"/>
      <c r="C146" s="48"/>
      <c r="D146" s="48"/>
      <c r="E146" s="48"/>
      <c r="F146" s="48"/>
      <c r="G146" s="48"/>
      <c r="H146" s="48"/>
      <c r="I146" s="48"/>
      <c r="J146" s="51">
        <f>MAX(J143-J140-J145-J144-J147,0)</f>
        <v>0</v>
      </c>
      <c r="K146" s="47"/>
      <c r="L146" s="48"/>
      <c r="M146" s="48"/>
      <c r="N146" s="48"/>
      <c r="O146" s="48"/>
      <c r="P146" s="48"/>
      <c r="Q146" s="48"/>
      <c r="R146" s="48"/>
      <c r="S146" s="51">
        <f>MAX(S143-S140-S145-S144-S147,0)</f>
        <v>0</v>
      </c>
      <c r="T146" s="47"/>
      <c r="U146" s="48"/>
      <c r="V146" s="48"/>
      <c r="W146" s="48"/>
      <c r="X146" s="48"/>
      <c r="Y146" s="48"/>
      <c r="Z146" s="48"/>
      <c r="AA146" s="48"/>
      <c r="AB146" s="51">
        <f>MAX(AB143-AB140-AB145-AB144-AB147,0)</f>
        <v>0</v>
      </c>
      <c r="AC146" s="47"/>
      <c r="AD146" s="48"/>
      <c r="AE146" s="48"/>
      <c r="AF146" s="48"/>
      <c r="AG146" s="48"/>
      <c r="AH146" s="48"/>
      <c r="AI146" s="48"/>
      <c r="AJ146" s="48"/>
      <c r="AK146" s="51">
        <f>MAX(AK143-AK140-AK145-AK144-AK147,0)</f>
        <v>0</v>
      </c>
      <c r="AL146" s="47"/>
      <c r="AM146" s="48"/>
      <c r="AN146" s="48"/>
      <c r="AO146" s="48"/>
      <c r="AP146" s="48"/>
      <c r="AQ146" s="48"/>
      <c r="AR146" s="48"/>
      <c r="AS146" s="48"/>
      <c r="AT146" s="51">
        <f>MAX(AT143-AT140-AT145-AT144-AT147,0)</f>
        <v>0</v>
      </c>
      <c r="AU146" s="47"/>
      <c r="AV146" s="48"/>
      <c r="AW146" s="48"/>
      <c r="AX146" s="97">
        <f>MAX(AX143-AX140-AX145-AX144,0)</f>
        <v>0</v>
      </c>
      <c r="AY146" s="49">
        <f t="shared" si="329"/>
        <v>0</v>
      </c>
      <c r="AZ146" s="39"/>
      <c r="BA146" s="39"/>
      <c r="BB146" s="39"/>
      <c r="BC146" s="39"/>
      <c r="BD146" s="39"/>
      <c r="BE146" s="39"/>
      <c r="BF146" s="29"/>
    </row>
    <row r="147" spans="1:59" s="27" customFormat="1" ht="15" customHeight="1">
      <c r="A147" s="50" t="s">
        <v>7</v>
      </c>
      <c r="B147" s="50"/>
      <c r="C147" s="51">
        <f>IF(C138="Dim",C143,IF(C153="ferie",C143,0))</f>
        <v>0</v>
      </c>
      <c r="D147" s="51">
        <f t="shared" ref="D147:I147" si="336">IF(D138="Dim",D143,IF(D153="ferie",D143,0))</f>
        <v>0</v>
      </c>
      <c r="E147" s="51">
        <f t="shared" si="336"/>
        <v>0</v>
      </c>
      <c r="F147" s="51">
        <f t="shared" si="336"/>
        <v>0</v>
      </c>
      <c r="G147" s="51">
        <f t="shared" si="336"/>
        <v>0</v>
      </c>
      <c r="H147" s="51">
        <f t="shared" si="336"/>
        <v>0</v>
      </c>
      <c r="I147" s="51">
        <f t="shared" si="336"/>
        <v>0</v>
      </c>
      <c r="J147" s="51">
        <f t="shared" si="319"/>
        <v>0</v>
      </c>
      <c r="K147" s="50"/>
      <c r="L147" s="51">
        <f>IF(L138="Dim",L143,IF(L153="ferie",L143,0))</f>
        <v>0</v>
      </c>
      <c r="M147" s="51">
        <f t="shared" ref="M147:R147" si="337">IF(M138="Dim",M143,IF(M153="ferie",M143,0))</f>
        <v>0</v>
      </c>
      <c r="N147" s="51">
        <f t="shared" si="337"/>
        <v>0</v>
      </c>
      <c r="O147" s="51">
        <f t="shared" si="337"/>
        <v>0</v>
      </c>
      <c r="P147" s="51">
        <f t="shared" si="337"/>
        <v>0</v>
      </c>
      <c r="Q147" s="51">
        <f>IF(Q138="Dim",Q143,IF(Q153="ferie",Q143,0))</f>
        <v>0</v>
      </c>
      <c r="R147" s="51">
        <f t="shared" si="337"/>
        <v>0</v>
      </c>
      <c r="S147" s="51">
        <f t="shared" si="321"/>
        <v>0</v>
      </c>
      <c r="T147" s="50"/>
      <c r="U147" s="51">
        <f>IF(U138="Dim",U143,IF(U153="ferie",U143,0))</f>
        <v>0</v>
      </c>
      <c r="V147" s="51">
        <f t="shared" ref="V147:AA147" si="338">IF(V138="Dim",V143,IF(V153="ferie",V143,0))</f>
        <v>0</v>
      </c>
      <c r="W147" s="51">
        <f t="shared" si="338"/>
        <v>0</v>
      </c>
      <c r="X147" s="51">
        <f t="shared" si="338"/>
        <v>0</v>
      </c>
      <c r="Y147" s="51">
        <f t="shared" si="338"/>
        <v>0</v>
      </c>
      <c r="Z147" s="51">
        <f t="shared" si="338"/>
        <v>0</v>
      </c>
      <c r="AA147" s="51">
        <f t="shared" si="338"/>
        <v>0</v>
      </c>
      <c r="AB147" s="51">
        <f t="shared" si="323"/>
        <v>0</v>
      </c>
      <c r="AC147" s="50"/>
      <c r="AD147" s="51">
        <f>IF(AD138="Dim",AD143,IF(AD153="ferie",AD143,0))</f>
        <v>0</v>
      </c>
      <c r="AE147" s="51">
        <f t="shared" ref="AE147:AJ147" si="339">IF(AE138="Dim",AE143,IF(AE153="ferie",AE143,0))</f>
        <v>0</v>
      </c>
      <c r="AF147" s="51">
        <f t="shared" si="339"/>
        <v>0</v>
      </c>
      <c r="AG147" s="51">
        <f t="shared" si="339"/>
        <v>0</v>
      </c>
      <c r="AH147" s="51">
        <f t="shared" si="339"/>
        <v>0</v>
      </c>
      <c r="AI147" s="51">
        <f t="shared" si="339"/>
        <v>0</v>
      </c>
      <c r="AJ147" s="51">
        <f t="shared" si="339"/>
        <v>0</v>
      </c>
      <c r="AK147" s="51">
        <f t="shared" si="325"/>
        <v>0</v>
      </c>
      <c r="AL147" s="50"/>
      <c r="AM147" s="51">
        <f>IF(AM138="Dim",AM143,IF(AM153="ferie",AM143,0))</f>
        <v>0</v>
      </c>
      <c r="AN147" s="51">
        <f t="shared" ref="AN147:AW147" si="340">IF(AN138="Dim",AN143,IF(AN153="ferie",AN143,0))</f>
        <v>0</v>
      </c>
      <c r="AO147" s="51">
        <f t="shared" si="340"/>
        <v>0</v>
      </c>
      <c r="AP147" s="51">
        <f t="shared" si="340"/>
        <v>0</v>
      </c>
      <c r="AQ147" s="51">
        <f t="shared" si="340"/>
        <v>0</v>
      </c>
      <c r="AR147" s="51">
        <f t="shared" si="340"/>
        <v>0</v>
      </c>
      <c r="AS147" s="51">
        <f t="shared" si="340"/>
        <v>0</v>
      </c>
      <c r="AT147" s="51">
        <f t="shared" si="327"/>
        <v>0</v>
      </c>
      <c r="AU147" s="50"/>
      <c r="AV147" s="51">
        <f>IF(AV138="Dim",AV143,IF(AV153="ferie",AV143,0))</f>
        <v>0</v>
      </c>
      <c r="AW147" s="51">
        <f t="shared" si="340"/>
        <v>0</v>
      </c>
      <c r="AX147" s="51">
        <f t="shared" ref="AX147:AX152" si="341">SUM(AV147:AW147)</f>
        <v>0</v>
      </c>
      <c r="AY147" s="51">
        <f t="shared" si="329"/>
        <v>0</v>
      </c>
      <c r="AZ147" s="25"/>
      <c r="BA147" s="25"/>
      <c r="BB147" s="25"/>
      <c r="BC147" s="25"/>
      <c r="BD147" s="25"/>
      <c r="BE147" s="25"/>
      <c r="BF147" s="25"/>
      <c r="BG147" s="28"/>
    </row>
    <row r="148" spans="1:59" s="27" customFormat="1" ht="15" customHeight="1">
      <c r="A148" s="47" t="s">
        <v>8</v>
      </c>
      <c r="B148" s="47"/>
      <c r="C148" s="48"/>
      <c r="D148" s="48"/>
      <c r="E148" s="48"/>
      <c r="F148" s="48"/>
      <c r="G148" s="48"/>
      <c r="H148" s="48"/>
      <c r="I148" s="48"/>
      <c r="J148" s="51">
        <f t="shared" ref="J148:J152" si="342">SUM(C148:I148)</f>
        <v>0</v>
      </c>
      <c r="K148" s="47"/>
      <c r="L148" s="48"/>
      <c r="M148" s="48"/>
      <c r="N148" s="48"/>
      <c r="O148" s="48"/>
      <c r="P148" s="48"/>
      <c r="Q148" s="48"/>
      <c r="R148" s="48"/>
      <c r="S148" s="51">
        <f t="shared" ref="S148:S152" si="343">SUM(L148:R148)</f>
        <v>0</v>
      </c>
      <c r="T148" s="47"/>
      <c r="U148" s="48"/>
      <c r="V148" s="48"/>
      <c r="W148" s="48"/>
      <c r="X148" s="48"/>
      <c r="Y148" s="48"/>
      <c r="Z148" s="48"/>
      <c r="AA148" s="48"/>
      <c r="AB148" s="51">
        <f t="shared" ref="AB148:AB152" si="344">SUM(U148:AA148)</f>
        <v>0</v>
      </c>
      <c r="AC148" s="47"/>
      <c r="AD148" s="48"/>
      <c r="AE148" s="48"/>
      <c r="AF148" s="48"/>
      <c r="AG148" s="48"/>
      <c r="AH148" s="48"/>
      <c r="AI148" s="48"/>
      <c r="AJ148" s="48"/>
      <c r="AK148" s="51">
        <f t="shared" ref="AK148:AK152" si="345">SUM(AD148:AJ148)</f>
        <v>0</v>
      </c>
      <c r="AL148" s="47"/>
      <c r="AM148" s="48"/>
      <c r="AN148" s="48"/>
      <c r="AO148" s="48"/>
      <c r="AP148" s="48"/>
      <c r="AQ148" s="48"/>
      <c r="AR148" s="48"/>
      <c r="AS148" s="48"/>
      <c r="AT148" s="51">
        <f t="shared" ref="AT148:AT152" si="346">SUM(AM148:AS148)</f>
        <v>0</v>
      </c>
      <c r="AU148" s="47"/>
      <c r="AV148" s="48"/>
      <c r="AW148" s="48"/>
      <c r="AX148" s="51">
        <f>SUM(AV148:AW148)</f>
        <v>0</v>
      </c>
      <c r="AY148" s="48">
        <f t="shared" si="329"/>
        <v>0</v>
      </c>
      <c r="AZ148" s="39"/>
      <c r="BA148" s="39"/>
      <c r="BB148" s="39"/>
      <c r="BC148" s="39"/>
      <c r="BD148" s="39"/>
      <c r="BE148" s="39"/>
      <c r="BF148" s="29"/>
    </row>
    <row r="149" spans="1:59" s="27" customFormat="1" ht="15" customHeight="1">
      <c r="A149" s="50" t="s">
        <v>9</v>
      </c>
      <c r="B149" s="50"/>
      <c r="C149" s="51"/>
      <c r="D149" s="51"/>
      <c r="E149" s="51"/>
      <c r="F149" s="51"/>
      <c r="G149" s="51"/>
      <c r="H149" s="51"/>
      <c r="I149" s="51"/>
      <c r="J149" s="51">
        <f t="shared" si="342"/>
        <v>0</v>
      </c>
      <c r="K149" s="50"/>
      <c r="L149" s="51"/>
      <c r="M149" s="51"/>
      <c r="N149" s="51"/>
      <c r="O149" s="51"/>
      <c r="P149" s="51"/>
      <c r="Q149" s="51"/>
      <c r="R149" s="51"/>
      <c r="S149" s="51">
        <f t="shared" si="343"/>
        <v>0</v>
      </c>
      <c r="T149" s="50"/>
      <c r="U149" s="51"/>
      <c r="V149" s="51"/>
      <c r="W149" s="51"/>
      <c r="X149" s="51"/>
      <c r="Y149" s="51"/>
      <c r="Z149" s="51"/>
      <c r="AA149" s="51"/>
      <c r="AB149" s="51">
        <f t="shared" si="344"/>
        <v>0</v>
      </c>
      <c r="AC149" s="50"/>
      <c r="AD149" s="51"/>
      <c r="AE149" s="51"/>
      <c r="AF149" s="51"/>
      <c r="AG149" s="51"/>
      <c r="AH149" s="51"/>
      <c r="AI149" s="51"/>
      <c r="AJ149" s="51"/>
      <c r="AK149" s="51">
        <f t="shared" si="345"/>
        <v>0</v>
      </c>
      <c r="AL149" s="50"/>
      <c r="AM149" s="51"/>
      <c r="AN149" s="51"/>
      <c r="AO149" s="51"/>
      <c r="AP149" s="51"/>
      <c r="AQ149" s="51"/>
      <c r="AR149" s="51"/>
      <c r="AS149" s="51"/>
      <c r="AT149" s="51">
        <f t="shared" si="346"/>
        <v>0</v>
      </c>
      <c r="AU149" s="50"/>
      <c r="AV149" s="51"/>
      <c r="AW149" s="51"/>
      <c r="AX149" s="51">
        <f t="shared" si="341"/>
        <v>0</v>
      </c>
      <c r="AY149" s="51">
        <f t="shared" si="329"/>
        <v>0</v>
      </c>
      <c r="AZ149" s="25"/>
      <c r="BA149" s="25"/>
      <c r="BB149" s="25"/>
      <c r="BC149" s="25"/>
      <c r="BD149" s="25"/>
      <c r="BE149" s="25"/>
      <c r="BF149" s="25"/>
      <c r="BG149" s="28"/>
    </row>
    <row r="150" spans="1:59" s="5" customFormat="1" ht="15" customHeight="1">
      <c r="A150" s="47" t="s">
        <v>11</v>
      </c>
      <c r="B150" s="47"/>
      <c r="C150" s="48"/>
      <c r="D150" s="48"/>
      <c r="E150" s="48"/>
      <c r="F150" s="48"/>
      <c r="G150" s="48"/>
      <c r="H150" s="48"/>
      <c r="I150" s="48"/>
      <c r="J150" s="51">
        <f t="shared" si="342"/>
        <v>0</v>
      </c>
      <c r="K150" s="47"/>
      <c r="L150" s="48"/>
      <c r="M150" s="48"/>
      <c r="N150" s="48"/>
      <c r="O150" s="48"/>
      <c r="P150" s="48"/>
      <c r="Q150" s="48"/>
      <c r="R150" s="48"/>
      <c r="S150" s="51">
        <f t="shared" si="343"/>
        <v>0</v>
      </c>
      <c r="T150" s="47"/>
      <c r="U150" s="48"/>
      <c r="V150" s="48"/>
      <c r="W150" s="48"/>
      <c r="X150" s="48"/>
      <c r="Y150" s="48"/>
      <c r="Z150" s="48"/>
      <c r="AA150" s="48"/>
      <c r="AB150" s="51">
        <f t="shared" si="344"/>
        <v>0</v>
      </c>
      <c r="AC150" s="47"/>
      <c r="AD150" s="48"/>
      <c r="AE150" s="48"/>
      <c r="AF150" s="48"/>
      <c r="AG150" s="48"/>
      <c r="AH150" s="48"/>
      <c r="AI150" s="48"/>
      <c r="AJ150" s="48"/>
      <c r="AK150" s="51">
        <f t="shared" si="345"/>
        <v>0</v>
      </c>
      <c r="AL150" s="47"/>
      <c r="AM150" s="48"/>
      <c r="AN150" s="48"/>
      <c r="AO150" s="48"/>
      <c r="AP150" s="48"/>
      <c r="AQ150" s="48"/>
      <c r="AR150" s="48"/>
      <c r="AS150" s="48"/>
      <c r="AT150" s="51">
        <f t="shared" si="346"/>
        <v>0</v>
      </c>
      <c r="AU150" s="47"/>
      <c r="AV150" s="48"/>
      <c r="AW150" s="48"/>
      <c r="AX150" s="51">
        <f t="shared" si="341"/>
        <v>0</v>
      </c>
      <c r="AY150" s="49">
        <f t="shared" si="329"/>
        <v>0</v>
      </c>
      <c r="AZ150" s="39"/>
      <c r="BA150" s="39"/>
      <c r="BB150" s="39"/>
      <c r="BC150" s="39"/>
      <c r="BD150" s="39"/>
      <c r="BE150" s="39"/>
      <c r="BF150" s="29"/>
    </row>
    <row r="151" spans="1:59" s="27" customFormat="1" ht="15" customHeight="1">
      <c r="A151" s="50" t="s">
        <v>10</v>
      </c>
      <c r="B151" s="50"/>
      <c r="C151" s="51"/>
      <c r="D151" s="51"/>
      <c r="E151" s="51"/>
      <c r="F151" s="51"/>
      <c r="G151" s="51"/>
      <c r="H151" s="51"/>
      <c r="I151" s="51"/>
      <c r="J151" s="51">
        <f t="shared" si="342"/>
        <v>0</v>
      </c>
      <c r="K151" s="50"/>
      <c r="L151" s="51"/>
      <c r="M151" s="51"/>
      <c r="N151" s="51"/>
      <c r="O151" s="51"/>
      <c r="P151" s="51"/>
      <c r="Q151" s="51"/>
      <c r="R151" s="51"/>
      <c r="S151" s="51">
        <f t="shared" si="343"/>
        <v>0</v>
      </c>
      <c r="T151" s="50"/>
      <c r="U151" s="51"/>
      <c r="V151" s="51"/>
      <c r="W151" s="51"/>
      <c r="X151" s="51"/>
      <c r="Y151" s="51"/>
      <c r="Z151" s="51"/>
      <c r="AA151" s="51"/>
      <c r="AB151" s="51">
        <f t="shared" si="344"/>
        <v>0</v>
      </c>
      <c r="AC151" s="50"/>
      <c r="AD151" s="51"/>
      <c r="AE151" s="51"/>
      <c r="AF151" s="51"/>
      <c r="AG151" s="51"/>
      <c r="AH151" s="51"/>
      <c r="AI151" s="51"/>
      <c r="AJ151" s="51"/>
      <c r="AK151" s="51">
        <f t="shared" si="345"/>
        <v>0</v>
      </c>
      <c r="AL151" s="50"/>
      <c r="AM151" s="51"/>
      <c r="AN151" s="51"/>
      <c r="AO151" s="51"/>
      <c r="AP151" s="51"/>
      <c r="AQ151" s="51"/>
      <c r="AR151" s="51"/>
      <c r="AS151" s="51"/>
      <c r="AT151" s="51">
        <f t="shared" si="346"/>
        <v>0</v>
      </c>
      <c r="AU151" s="50"/>
      <c r="AV151" s="51"/>
      <c r="AW151" s="51"/>
      <c r="AX151" s="51">
        <f t="shared" si="341"/>
        <v>0</v>
      </c>
      <c r="AY151" s="51">
        <f t="shared" si="329"/>
        <v>0</v>
      </c>
      <c r="AZ151" s="25"/>
      <c r="BA151" s="25"/>
      <c r="BB151" s="25"/>
      <c r="BC151" s="25"/>
      <c r="BD151" s="25"/>
      <c r="BE151" s="25"/>
      <c r="BF151" s="25"/>
      <c r="BG151" s="28"/>
    </row>
    <row r="152" spans="1:59" s="5" customFormat="1" ht="15" customHeight="1">
      <c r="A152" s="47" t="s">
        <v>37</v>
      </c>
      <c r="B152" s="47"/>
      <c r="C152" s="48">
        <f>IF(C140="nuit",C143*0.02,0)</f>
        <v>0</v>
      </c>
      <c r="D152" s="48">
        <f>IF(D140="nuit",D143*0.02,0)</f>
        <v>0</v>
      </c>
      <c r="E152" s="48">
        <f t="shared" ref="E152:I152" si="347">IF(E140="nuit",E143*0.02,0)</f>
        <v>0.16</v>
      </c>
      <c r="F152" s="48">
        <f t="shared" si="347"/>
        <v>0.16</v>
      </c>
      <c r="G152" s="48">
        <f>IF(G140="nuit",G143*0.02,0)</f>
        <v>0.16</v>
      </c>
      <c r="H152" s="48">
        <f t="shared" si="347"/>
        <v>0</v>
      </c>
      <c r="I152" s="48">
        <f t="shared" si="347"/>
        <v>0</v>
      </c>
      <c r="J152" s="51">
        <f t="shared" si="342"/>
        <v>0.48</v>
      </c>
      <c r="K152" s="47"/>
      <c r="L152" s="48">
        <f>IF(L140="nuit",L143*0.02,0)</f>
        <v>0</v>
      </c>
      <c r="M152" s="48">
        <f>IF(M140="nuit",M143*0.02,0)</f>
        <v>0</v>
      </c>
      <c r="N152" s="48">
        <f t="shared" ref="N152:R152" si="348">IF(N140="nuit",N143*0.02,0)</f>
        <v>0</v>
      </c>
      <c r="O152" s="48">
        <f t="shared" si="348"/>
        <v>0</v>
      </c>
      <c r="P152" s="48">
        <f>IF(P140="nuit",P143*0.02,0)</f>
        <v>0</v>
      </c>
      <c r="Q152" s="48">
        <f t="shared" si="348"/>
        <v>0</v>
      </c>
      <c r="R152" s="48">
        <f t="shared" si="348"/>
        <v>0</v>
      </c>
      <c r="S152" s="51">
        <f t="shared" si="343"/>
        <v>0</v>
      </c>
      <c r="T152" s="47"/>
      <c r="U152" s="48">
        <f>IF(U140="nuit",U143*0.02,0)</f>
        <v>0</v>
      </c>
      <c r="V152" s="48">
        <f>IF(V140="nuit",V143*0.02,0)</f>
        <v>0</v>
      </c>
      <c r="W152" s="48">
        <f t="shared" ref="W152:AA152" si="349">IF(W140="nuit",W143*0.02,0)</f>
        <v>0</v>
      </c>
      <c r="X152" s="48">
        <f t="shared" si="349"/>
        <v>0</v>
      </c>
      <c r="Y152" s="48">
        <f>IF(Y140="nuit",Y143*0.02,0)</f>
        <v>0</v>
      </c>
      <c r="Z152" s="48">
        <f t="shared" si="349"/>
        <v>0</v>
      </c>
      <c r="AA152" s="48">
        <f t="shared" si="349"/>
        <v>0</v>
      </c>
      <c r="AB152" s="51">
        <f t="shared" si="344"/>
        <v>0</v>
      </c>
      <c r="AC152" s="47"/>
      <c r="AD152" s="48">
        <f>IF(AD140="nuit",AD143*0.02,0)</f>
        <v>0</v>
      </c>
      <c r="AE152" s="48">
        <f>IF(AE140="nuit",AE143*0.02,0)</f>
        <v>0</v>
      </c>
      <c r="AF152" s="48">
        <f t="shared" ref="AF152:AJ152" si="350">IF(AF140="nuit",AF143*0.02,0)</f>
        <v>0</v>
      </c>
      <c r="AG152" s="48">
        <f t="shared" si="350"/>
        <v>0</v>
      </c>
      <c r="AH152" s="48">
        <f>IF(AH140="nuit",AH143*0.02,0)</f>
        <v>0</v>
      </c>
      <c r="AI152" s="48">
        <f t="shared" si="350"/>
        <v>0</v>
      </c>
      <c r="AJ152" s="48">
        <f t="shared" si="350"/>
        <v>0</v>
      </c>
      <c r="AK152" s="51">
        <f t="shared" si="345"/>
        <v>0</v>
      </c>
      <c r="AL152" s="47"/>
      <c r="AM152" s="48">
        <f>IF(AM140="nuit",AM143*0.02,0)</f>
        <v>0.16</v>
      </c>
      <c r="AN152" s="48">
        <f>IF(AN140="nuit",AN143*0.02,0)</f>
        <v>0.16</v>
      </c>
      <c r="AO152" s="48">
        <f t="shared" ref="AO152:AS152" si="351">IF(AO140="nuit",AO143*0.02,0)</f>
        <v>0.16</v>
      </c>
      <c r="AP152" s="48">
        <f t="shared" si="351"/>
        <v>0.16</v>
      </c>
      <c r="AQ152" s="48">
        <f>IF(AQ140="nuit",AQ143*0.02,0)</f>
        <v>0.16</v>
      </c>
      <c r="AR152" s="48">
        <f t="shared" si="351"/>
        <v>0</v>
      </c>
      <c r="AS152" s="48">
        <f t="shared" si="351"/>
        <v>0</v>
      </c>
      <c r="AT152" s="51">
        <f t="shared" si="346"/>
        <v>0.8</v>
      </c>
      <c r="AU152" s="47"/>
      <c r="AV152" s="48">
        <f>IF(AV140="nuit",AV143*0.02,0)</f>
        <v>0</v>
      </c>
      <c r="AW152" s="48">
        <f>IF(AW140="nuit",AW143*0.02,0)</f>
        <v>0</v>
      </c>
      <c r="AX152" s="51">
        <f t="shared" si="341"/>
        <v>0</v>
      </c>
      <c r="AY152" s="49">
        <f>J152+S152+AB152+AK152+AT152+AX152</f>
        <v>1.28</v>
      </c>
      <c r="AZ152" s="39"/>
      <c r="BA152" s="39"/>
      <c r="BB152" s="39"/>
      <c r="BC152" s="39"/>
      <c r="BD152" s="39"/>
      <c r="BE152" s="39"/>
      <c r="BF152" s="29"/>
    </row>
    <row r="153" spans="1:59" s="27" customFormat="1" ht="15" customHeight="1">
      <c r="A153" s="50" t="s">
        <v>24</v>
      </c>
      <c r="B153" s="50"/>
      <c r="C153" s="51"/>
      <c r="D153" s="51"/>
      <c r="E153" s="51"/>
      <c r="F153" s="51"/>
      <c r="G153" s="51"/>
      <c r="H153" s="51"/>
      <c r="I153" s="51"/>
      <c r="J153" s="51"/>
      <c r="K153" s="50"/>
      <c r="L153" s="51"/>
      <c r="M153" s="51"/>
      <c r="N153" s="51"/>
      <c r="O153" s="51"/>
      <c r="P153" s="51"/>
      <c r="Q153" s="51"/>
      <c r="R153" s="51"/>
      <c r="S153" s="51"/>
      <c r="T153" s="50"/>
      <c r="U153" s="51"/>
      <c r="V153" s="51"/>
      <c r="W153" s="51"/>
      <c r="X153" s="51"/>
      <c r="Y153" s="51"/>
      <c r="Z153" s="51"/>
      <c r="AA153" s="51"/>
      <c r="AB153" s="51"/>
      <c r="AC153" s="50"/>
      <c r="AD153" s="51"/>
      <c r="AE153" s="51"/>
      <c r="AF153" s="51"/>
      <c r="AG153" s="51"/>
      <c r="AH153" s="51"/>
      <c r="AI153" s="51"/>
      <c r="AJ153" s="51"/>
      <c r="AK153" s="51"/>
      <c r="AL153" s="50"/>
      <c r="AM153" s="51"/>
      <c r="AN153" s="51"/>
      <c r="AO153" s="51"/>
      <c r="AP153" s="51"/>
      <c r="AQ153" s="51"/>
      <c r="AR153" s="51"/>
      <c r="AS153" s="51"/>
      <c r="AT153" s="51"/>
      <c r="AU153" s="50"/>
      <c r="AV153" s="51"/>
      <c r="AW153" s="51"/>
      <c r="AX153" s="51"/>
      <c r="AY153" s="51"/>
      <c r="AZ153" s="25"/>
      <c r="BA153" s="25"/>
      <c r="BB153" s="25"/>
      <c r="BC153" s="25"/>
      <c r="BD153" s="25"/>
      <c r="BE153" s="25"/>
      <c r="BF153" s="25"/>
      <c r="BG153" s="28"/>
    </row>
    <row r="154" spans="1:59" s="99" customFormat="1" ht="15" customHeight="1">
      <c r="A154" s="104" t="s">
        <v>112</v>
      </c>
      <c r="B154" s="105"/>
      <c r="C154" s="106" t="str">
        <f>IF(C139="","",IFERROR(VLOOKUP(B138,[2]DATA!$A$12:$H$16,2,TRUE),0))</f>
        <v/>
      </c>
      <c r="D154" s="106" t="str">
        <f>IF(D139="","",IFERROR(VLOOKUP(B138,[2]DATA!$A$12:$H$16,3,TRUE),0))</f>
        <v/>
      </c>
      <c r="E154" s="106">
        <f>IF(E139="","",IFERROR(VLOOKUP(B138,[2]DATA!$A$12:$H$16,4,TRUE),0))</f>
        <v>1</v>
      </c>
      <c r="F154" s="106">
        <f>IF(F139="","",IFERROR(VLOOKUP(B138,[2]DATA!$A$12:$H$16,5,TRUE),0))</f>
        <v>1</v>
      </c>
      <c r="G154" s="106">
        <f>IF(G139="","",IFERROR(VLOOKUP(B138,[2]DATA!$A$12:$H$16,6,TRUE),0))</f>
        <v>1</v>
      </c>
      <c r="H154" s="106"/>
      <c r="I154" s="106"/>
      <c r="J154" s="106">
        <f>SUM(C154:G154)</f>
        <v>3</v>
      </c>
      <c r="K154" s="106"/>
      <c r="L154" s="106">
        <f>IF(L139="","",IFERROR(VLOOKUP(K138,[2]DATA!$A$12:$H$16,2,TRUE),0))</f>
        <v>1</v>
      </c>
      <c r="M154" s="106">
        <f>IF(M139="","",IFERROR(VLOOKUP(K138,[2]DATA!$A$12:$H$16,3,TRUE),0))</f>
        <v>0</v>
      </c>
      <c r="N154" s="106">
        <f>IF(N139="","",IFERROR(VLOOKUP(K138,[2]DATA!$A$12:$H$16,4,TRUE),0))</f>
        <v>0</v>
      </c>
      <c r="O154" s="106">
        <f>IF(O139="","",IFERROR(VLOOKUP(K138,[2]DATA!$A$12:$H$16,5,TRUE),0))</f>
        <v>1</v>
      </c>
      <c r="P154" s="106">
        <f>IF(P139="","",IFERROR(VLOOKUP(K138,[2]DATA!$A$12:$H$16,6,TRUE),0))</f>
        <v>1</v>
      </c>
      <c r="Q154" s="106"/>
      <c r="R154" s="106"/>
      <c r="S154" s="106">
        <f>SUM(L154:P154)</f>
        <v>3</v>
      </c>
      <c r="T154" s="106"/>
      <c r="U154" s="106">
        <f>IF(U139="","",IFERROR(VLOOKUP(T138,[2]DATA!$A$12:$H$16,2,TRUE),0))</f>
        <v>1</v>
      </c>
      <c r="V154" s="106">
        <f>IF(V139="","",IFERROR(VLOOKUP(T138,[2]DATA!$A$12:$H$16,3,TRUE),0))</f>
        <v>1</v>
      </c>
      <c r="W154" s="106">
        <f>IF(W139="","",IFERROR(VLOOKUP(T138,[2]DATA!$A$12:$H$16,4,TRUE),0))</f>
        <v>1</v>
      </c>
      <c r="X154" s="106">
        <f>IF(X139="","",IFERROR(VLOOKUP(T138,[2]DATA!$A$12:$H$16,5,TRUE),0))</f>
        <v>1</v>
      </c>
      <c r="Y154" s="106">
        <f>IF(Y139="","",IFERROR(VLOOKUP(T138,[2]DATA!$A$12:$H$16,6,TRUE),0))</f>
        <v>1</v>
      </c>
      <c r="Z154" s="106"/>
      <c r="AA154" s="106"/>
      <c r="AB154" s="106">
        <f>SUM(U154:Y154)</f>
        <v>5</v>
      </c>
      <c r="AC154" s="106"/>
      <c r="AD154" s="106">
        <f>IF(AD139="","",IFERROR(VLOOKUP(AC138,[2]DATA!$A$12:$H$16,2,TRUE),0))</f>
        <v>1</v>
      </c>
      <c r="AE154" s="106">
        <f>IF(AE139="","",IFERROR(VLOOKUP(AC138,[2]DATA!$A$12:$H$16,3,TRUE),0))</f>
        <v>1</v>
      </c>
      <c r="AF154" s="106">
        <f>IF(AF139="","",IFERROR(VLOOKUP(AC138,[2]DATA!$A$12:$H$16,4,TRUE),0))</f>
        <v>1</v>
      </c>
      <c r="AG154" s="106">
        <f>IF(AG139="","",IFERROR(VLOOKUP(AC138,[2]DATA!$A$12:$H$16,5,TRUE),0))</f>
        <v>0</v>
      </c>
      <c r="AH154" s="106">
        <f>IF(AH139="","",IFERROR(VLOOKUP(AC138,[2]DATA!$A$12:$H$16,6,TRUE),0))</f>
        <v>0</v>
      </c>
      <c r="AI154" s="106"/>
      <c r="AJ154" s="106"/>
      <c r="AK154" s="106">
        <f>SUM(AD154:AH154)</f>
        <v>3</v>
      </c>
      <c r="AL154" s="106"/>
      <c r="AM154" s="106">
        <f>IF(AM139="","",IFERROR(VLOOKUP(AL138,[2]DATA!$A$12:$H$16,2,TRUE),0))</f>
        <v>1</v>
      </c>
      <c r="AN154" s="106">
        <f>IF(AN139="","",IFERROR(VLOOKUP(AL138,[2]DATA!$A$12:$H$16,3,TRUE),0))</f>
        <v>1</v>
      </c>
      <c r="AO154" s="106">
        <f>IF(AO139="","",IFERROR(VLOOKUP(AL138,[2]DATA!$A$12:$H$16,4,TRUE),0))</f>
        <v>1</v>
      </c>
      <c r="AP154" s="106">
        <f>IF(AP139="","",IFERROR(VLOOKUP(AL138,[2]DATA!$A$12:$H$16,5,TRUE),0))</f>
        <v>1</v>
      </c>
      <c r="AQ154" s="106">
        <f>IF(AQ139="","",IFERROR(VLOOKUP(AL138,[2]DATA!$A$12:$H$16,6,TRUE),0))</f>
        <v>1</v>
      </c>
      <c r="AR154" s="106"/>
      <c r="AS154" s="106"/>
      <c r="AT154" s="106">
        <f>SUM(AM154:AQ154)</f>
        <v>5</v>
      </c>
      <c r="AU154" s="106"/>
      <c r="AV154" s="106" t="str">
        <f>IF(AV139="","",IFERROR(VLOOKUP(AU138,[2]DATA!$A$12:$H$16,2,TRUE),0))</f>
        <v/>
      </c>
      <c r="AW154" s="106" t="str">
        <f>IF(AW139="","",IFERROR(VLOOKUP(AU138,[2]DATA!$A$12:$H$16,3,TRUE),0))</f>
        <v/>
      </c>
      <c r="AX154" s="106">
        <f>SUM(AV154:AW154)</f>
        <v>0</v>
      </c>
      <c r="AY154" s="107"/>
      <c r="AZ154" s="34"/>
      <c r="BA154" s="34"/>
      <c r="BB154" s="34"/>
      <c r="BC154" s="34"/>
      <c r="BD154" s="34"/>
      <c r="BE154" s="34"/>
      <c r="BF154" s="98"/>
    </row>
    <row r="155" spans="1:59" s="99" customFormat="1" ht="15" customHeight="1">
      <c r="A155" s="108" t="s">
        <v>113</v>
      </c>
      <c r="B155" s="109"/>
      <c r="C155" s="53"/>
      <c r="D155" s="53"/>
      <c r="E155" s="53"/>
      <c r="F155" s="53"/>
      <c r="G155" s="53"/>
      <c r="H155" s="53"/>
      <c r="I155" s="53"/>
      <c r="J155" s="53">
        <f>J142-J154</f>
        <v>0</v>
      </c>
      <c r="K155" s="53"/>
      <c r="L155" s="53"/>
      <c r="M155" s="53"/>
      <c r="N155" s="53"/>
      <c r="O155" s="53"/>
      <c r="P155" s="53"/>
      <c r="Q155" s="53"/>
      <c r="R155" s="53"/>
      <c r="S155" s="53">
        <f>S142-S154</f>
        <v>0</v>
      </c>
      <c r="T155" s="53"/>
      <c r="U155" s="53"/>
      <c r="V155" s="53"/>
      <c r="W155" s="53"/>
      <c r="X155" s="53"/>
      <c r="Y155" s="53"/>
      <c r="Z155" s="53"/>
      <c r="AA155" s="53"/>
      <c r="AB155" s="53">
        <f>AB142-AB154</f>
        <v>0</v>
      </c>
      <c r="AC155" s="53"/>
      <c r="AD155" s="53"/>
      <c r="AE155" s="53"/>
      <c r="AF155" s="53"/>
      <c r="AG155" s="53"/>
      <c r="AH155" s="53"/>
      <c r="AI155" s="53"/>
      <c r="AJ155" s="53"/>
      <c r="AK155" s="53">
        <f>AK142-AK154</f>
        <v>0</v>
      </c>
      <c r="AL155" s="53"/>
      <c r="AM155" s="53"/>
      <c r="AN155" s="53"/>
      <c r="AO155" s="53"/>
      <c r="AP155" s="53"/>
      <c r="AQ155" s="53"/>
      <c r="AR155" s="53"/>
      <c r="AS155" s="53"/>
      <c r="AT155" s="53">
        <f>AT142-AT154</f>
        <v>0</v>
      </c>
      <c r="AU155" s="53"/>
      <c r="AV155" s="53"/>
      <c r="AW155" s="53"/>
      <c r="AX155" s="53">
        <f>AX142-AX154</f>
        <v>0</v>
      </c>
      <c r="AY155" s="110">
        <f>AT155+AK155+AB155+S155+J155</f>
        <v>0</v>
      </c>
      <c r="AZ155" s="34"/>
      <c r="BA155" s="34"/>
      <c r="BB155" s="34"/>
      <c r="BC155" s="34"/>
      <c r="BD155" s="34"/>
      <c r="BE155" s="34"/>
      <c r="BF155" s="98"/>
    </row>
    <row r="156" spans="1:59" ht="27">
      <c r="A156" s="16"/>
      <c r="B156" s="16"/>
      <c r="C156" s="101" t="s">
        <v>20</v>
      </c>
      <c r="D156" s="101"/>
      <c r="E156" s="101"/>
      <c r="F156" s="101"/>
      <c r="G156" s="101"/>
      <c r="H156" s="112">
        <f>Année_Calendaire</f>
        <v>2018</v>
      </c>
      <c r="I156" s="112"/>
      <c r="J156" s="94"/>
      <c r="K156" s="43"/>
      <c r="L156" s="102"/>
      <c r="M156" s="102"/>
      <c r="N156" s="102"/>
      <c r="O156" s="102"/>
      <c r="P156" s="102"/>
      <c r="Q156" s="102"/>
      <c r="R156" s="102"/>
      <c r="S156" s="36"/>
      <c r="T156" s="43"/>
      <c r="U156" s="101" t="s">
        <v>20</v>
      </c>
      <c r="V156" s="101"/>
      <c r="W156" s="101"/>
      <c r="X156" s="101"/>
      <c r="Y156" s="101"/>
      <c r="Z156" s="112">
        <f>Année_Calendaire</f>
        <v>2018</v>
      </c>
      <c r="AA156" s="112"/>
      <c r="AB156" s="36"/>
      <c r="AC156" s="43"/>
      <c r="AD156" s="102"/>
      <c r="AE156" s="102"/>
      <c r="AF156" s="102"/>
      <c r="AG156" s="102"/>
      <c r="AH156" s="102"/>
      <c r="AI156" s="102"/>
      <c r="AJ156" s="102"/>
      <c r="AK156" s="36"/>
      <c r="AL156" s="43"/>
      <c r="AM156" s="101" t="s">
        <v>20</v>
      </c>
      <c r="AN156" s="101"/>
      <c r="AO156" s="101"/>
      <c r="AP156" s="101"/>
      <c r="AQ156" s="101"/>
      <c r="AR156" s="112">
        <f>Année_Calendaire</f>
        <v>2018</v>
      </c>
      <c r="AS156" s="112"/>
      <c r="AT156" s="36"/>
      <c r="AU156" s="43"/>
      <c r="AV156" s="25"/>
      <c r="AW156" s="25"/>
      <c r="AX156" s="36"/>
    </row>
    <row r="157" spans="1:59" s="22" customFormat="1" ht="29.25" customHeight="1">
      <c r="A157" s="35"/>
      <c r="B157" s="54" t="str">
        <f>IF(C157="",AU138,LEFT(AU138)&amp;MOD(RIGHT(AU138),4)+1)</f>
        <v>c2</v>
      </c>
      <c r="C157" s="100" t="str">
        <f>IF(C158&lt;&gt;"","Lun","")</f>
        <v/>
      </c>
      <c r="D157" s="100" t="str">
        <f>IF(D158&lt;&gt;"","Mar","")</f>
        <v/>
      </c>
      <c r="E157" s="100" t="str">
        <f>IF(E158&lt;&gt;"","Mer","")</f>
        <v/>
      </c>
      <c r="F157" s="100" t="str">
        <f>IF(F158&lt;&gt;"","Jeu","")</f>
        <v/>
      </c>
      <c r="G157" s="100" t="str">
        <f>IF(G158&lt;&gt;"","Ven","")</f>
        <v/>
      </c>
      <c r="H157" s="100" t="str">
        <f>IF(H158&lt;&gt;"","Sam","")</f>
        <v>Sam</v>
      </c>
      <c r="I157" s="100" t="str">
        <f>IF(I158&lt;&gt;"","Dim","")</f>
        <v>Dim</v>
      </c>
      <c r="J157" s="113" t="s">
        <v>25</v>
      </c>
      <c r="K157" s="54" t="str">
        <f>IF(L157="",LEFT(B157)&amp;MOD(RIGHT(B157),5),LEFT(B157)&amp;MOD(RIGHT(B157),4)+1)</f>
        <v>c3</v>
      </c>
      <c r="L157" s="100" t="str">
        <f>IF(L158&lt;&gt;"","Lun","")</f>
        <v>Lun</v>
      </c>
      <c r="M157" s="100" t="str">
        <f>IF(M158&lt;&gt;"","Mar","")</f>
        <v>Mar</v>
      </c>
      <c r="N157" s="100" t="str">
        <f>IF(N158&lt;&gt;"","Mer","")</f>
        <v>Mer</v>
      </c>
      <c r="O157" s="100" t="str">
        <f>IF(O158&lt;&gt;"","Jeu","")</f>
        <v>Jeu</v>
      </c>
      <c r="P157" s="100" t="str">
        <f>IF(P158&lt;&gt;"","Ven","")</f>
        <v>Ven</v>
      </c>
      <c r="Q157" s="100" t="str">
        <f>IF(Q158&lt;&gt;"","Sam","")</f>
        <v>Sam</v>
      </c>
      <c r="R157" s="100" t="str">
        <f>IF(R158&lt;&gt;"","Dim","")</f>
        <v>Dim</v>
      </c>
      <c r="S157" s="113" t="s">
        <v>25</v>
      </c>
      <c r="T157" s="54" t="str">
        <f>IF(U157="",LEFT(K157)&amp;MOD(RIGHT(K157),5),LEFT(K157)&amp;MOD(RIGHT(K157),4)+1)</f>
        <v>c4</v>
      </c>
      <c r="U157" s="100" t="str">
        <f>IF(U158&lt;&gt;"","Lun","")</f>
        <v>Lun</v>
      </c>
      <c r="V157" s="100" t="str">
        <f>IF(V158&lt;&gt;"","Mar","")</f>
        <v>Mar</v>
      </c>
      <c r="W157" s="100" t="str">
        <f>IF(W158&lt;&gt;"","Mer","")</f>
        <v>Mer</v>
      </c>
      <c r="X157" s="100" t="str">
        <f>IF(X158&lt;&gt;"","Jeu","")</f>
        <v>Jeu</v>
      </c>
      <c r="Y157" s="100" t="str">
        <f>IF(Y158&lt;&gt;"","Ven","")</f>
        <v>Ven</v>
      </c>
      <c r="Z157" s="100" t="str">
        <f>IF(Z158&lt;&gt;"","Sam","")</f>
        <v>Sam</v>
      </c>
      <c r="AA157" s="100" t="str">
        <f>IF(AA158&lt;&gt;"","Dim","")</f>
        <v>Dim</v>
      </c>
      <c r="AB157" s="113" t="s">
        <v>25</v>
      </c>
      <c r="AC157" s="54" t="str">
        <f>IF(AD157="",LEFT(T157)&amp;MOD(RIGHT(T157),5),LEFT(T157)&amp;MOD(RIGHT(T157),4)+1)</f>
        <v>c1</v>
      </c>
      <c r="AD157" s="100" t="str">
        <f>IF(AD158&lt;&gt;"","Lun","")</f>
        <v>Lun</v>
      </c>
      <c r="AE157" s="100" t="str">
        <f>IF(AE158&lt;&gt;"","Mar","")</f>
        <v>Mar</v>
      </c>
      <c r="AF157" s="100" t="str">
        <f>IF(AF158&lt;&gt;"","Mer","")</f>
        <v>Mer</v>
      </c>
      <c r="AG157" s="100" t="str">
        <f>IF(AG158&lt;&gt;"","Jeu","")</f>
        <v>Jeu</v>
      </c>
      <c r="AH157" s="100" t="str">
        <f>IF(AH158&lt;&gt;"","Ven","")</f>
        <v>Ven</v>
      </c>
      <c r="AI157" s="100" t="str">
        <f>IF(AI158&lt;&gt;"","Sam","")</f>
        <v>Sam</v>
      </c>
      <c r="AJ157" s="100" t="str">
        <f>IF(AJ158&lt;&gt;"","Dim","")</f>
        <v>Dim</v>
      </c>
      <c r="AK157" s="113" t="s">
        <v>25</v>
      </c>
      <c r="AL157" s="54" t="str">
        <f>IF(AM157="",LEFT(AC157)&amp;MOD(RIGHT(AC157),5),LEFT(AC157)&amp;MOD(RIGHT(AC157),4)+1)</f>
        <v>c2</v>
      </c>
      <c r="AM157" s="100" t="str">
        <f>IF(AM158&lt;&gt;"","Lun","")</f>
        <v>Lun</v>
      </c>
      <c r="AN157" s="100" t="str">
        <f>IF(AN158&lt;&gt;"","Mar","")</f>
        <v>Mar</v>
      </c>
      <c r="AO157" s="100" t="str">
        <f>IF(AO158&lt;&gt;"","Mer","")</f>
        <v>Mer</v>
      </c>
      <c r="AP157" s="100" t="str">
        <f>IF(AP158&lt;&gt;"","Jeu","")</f>
        <v>Jeu</v>
      </c>
      <c r="AQ157" s="100" t="str">
        <f>IF(AQ158&lt;&gt;"","Ven","")</f>
        <v>Ven</v>
      </c>
      <c r="AR157" s="100" t="str">
        <f>IF(AR158&lt;&gt;"","Sam","")</f>
        <v>Sam</v>
      </c>
      <c r="AS157" s="100" t="str">
        <f>IF(AS158&lt;&gt;"","Dim","")</f>
        <v>Dim</v>
      </c>
      <c r="AT157" s="113" t="s">
        <v>25</v>
      </c>
      <c r="AU157" s="54" t="str">
        <f>IF(AV157="",LEFT(AL157)&amp;MOD(RIGHT(AL157),5),LEFT(AL157)&amp;MOD(RIGHT(AL157),4)+1)</f>
        <v>c2</v>
      </c>
      <c r="AV157" s="52" t="str">
        <f>IF(AV158&lt;&gt;"","Lun","")</f>
        <v/>
      </c>
      <c r="AW157" s="52" t="str">
        <f>IF(AW158&lt;&gt;"","Mar","")</f>
        <v/>
      </c>
      <c r="AX157" s="113" t="s">
        <v>25</v>
      </c>
      <c r="AY157" s="113" t="s">
        <v>28</v>
      </c>
      <c r="AZ157" s="114">
        <f>AY164+AY165+AY166</f>
        <v>0</v>
      </c>
      <c r="BA157" s="114">
        <f>AZ157+BA138</f>
        <v>0</v>
      </c>
      <c r="BB157" s="38"/>
      <c r="BC157" s="38"/>
      <c r="BD157" s="38"/>
      <c r="BE157" s="38"/>
      <c r="BF157" s="33"/>
    </row>
    <row r="158" spans="1:59" s="24" customFormat="1" ht="15" customHeight="1">
      <c r="A158" s="10"/>
      <c r="B158" s="53"/>
      <c r="C158" s="85" t="str">
        <f>IF(DAY(Sep_Dim1)=1,"",IF(AND(YEAR(Sep_Dim1+1)=Année_Calendaire,MONTH(Sep_Dim1+1)=9),Sep_Dim1+1,""))</f>
        <v/>
      </c>
      <c r="D158" s="85" t="str">
        <f>IF(DAY(Sep_Dim1)=1,"",IF(AND(YEAR(Sep_Dim1+2)=Année_Calendaire,MONTH(Sep_Dim1+2)=9),Sep_Dim1+2,""))</f>
        <v/>
      </c>
      <c r="E158" s="85" t="str">
        <f>IF(DAY(Sep_Dim1)=1,"",IF(AND(YEAR(Sep_Dim1+3)=Année_Calendaire,MONTH(Sep_Dim1+3)=9),Sep_Dim1+3,""))</f>
        <v/>
      </c>
      <c r="F158" s="85" t="str">
        <f>IF(DAY(Sep_Dim1)=1,"",IF(AND(YEAR(Sep_Dim1+4)=Année_Calendaire,MONTH(Sep_Dim1+4)=9),Sep_Dim1+4,""))</f>
        <v/>
      </c>
      <c r="G158" s="85" t="str">
        <f>IF(DAY(Sep_Dim1)=1,"",IF(AND(YEAR(Sep_Dim1+5)=Année_Calendaire,MONTH(Sep_Dim1+5)=9),Sep_Dim1+5,""))</f>
        <v/>
      </c>
      <c r="H158" s="85">
        <f>IF(DAY(Sep_Dim1)=1,"",IF(AND(YEAR(Sep_Dim1+6)=Année_Calendaire,MONTH(Sep_Dim1+6)=9),Sep_Dim1+6,""))</f>
        <v>43344</v>
      </c>
      <c r="I158" s="85">
        <f>IF(DAY(Sep_Dim1)=1,IF(AND(YEAR(Sep_Dim1)=Année_Calendaire,MONTH(Sep_Dim1)=9),Sep_Dim1,""),IF(AND(YEAR(Sep_Dim1+7)=Année_Calendaire,MONTH(Sep_Dim1+7)=9),Sep_Dim1+7,""))</f>
        <v>43345</v>
      </c>
      <c r="J158" s="113"/>
      <c r="K158" s="53"/>
      <c r="L158" s="85">
        <f>IF(DAY(Sep_Dim1)=1,IF(AND(YEAR(Sep_Dim1+1)=Année_Calendaire,MONTH(Sep_Dim1+1)=9),Sep_Dim1+1,""),IF(AND(YEAR(Sep_Dim1+8)=Année_Calendaire,MONTH(Sep_Dim1+8)=9),Sep_Dim1+8,""))</f>
        <v>43346</v>
      </c>
      <c r="M158" s="85">
        <f>IF(DAY(Sep_Dim1)=1,IF(AND(YEAR(Sep_Dim1+2)=Année_Calendaire,MONTH(Sep_Dim1+2)=9),Sep_Dim1+2,""),IF(AND(YEAR(Sep_Dim1+9)=Année_Calendaire,MONTH(Sep_Dim1+9)=9),Sep_Dim1+9,""))</f>
        <v>43347</v>
      </c>
      <c r="N158" s="85">
        <f>IF(DAY(Sep_Dim1)=1,IF(AND(YEAR(Sep_Dim1+3)=Année_Calendaire,MONTH(Sep_Dim1+3)=9),Sep_Dim1+3,""),IF(AND(YEAR(Sep_Dim1+10)=Année_Calendaire,MONTH(Sep_Dim1+10)=9),Sep_Dim1+10,""))</f>
        <v>43348</v>
      </c>
      <c r="O158" s="85">
        <f>IF(DAY(Sep_Dim1)=1,IF(AND(YEAR(Sep_Dim1+4)=Année_Calendaire,MONTH(Sep_Dim1+4)=9),Sep_Dim1+4,""),IF(AND(YEAR(Sep_Dim1+11)=Année_Calendaire,MONTH(Sep_Dim1+11)=9),Sep_Dim1+11,""))</f>
        <v>43349</v>
      </c>
      <c r="P158" s="85">
        <f>IF(DAY(Sep_Dim1)=1,IF(AND(YEAR(Sep_Dim1+5)=Année_Calendaire,MONTH(Sep_Dim1+5)=9),Sep_Dim1+5,""),IF(AND(YEAR(Sep_Dim1+12)=Année_Calendaire,MONTH(Sep_Dim1+12)=9),Sep_Dim1+12,""))</f>
        <v>43350</v>
      </c>
      <c r="Q158" s="85">
        <f>IF(DAY(Sep_Dim1)=1,IF(AND(YEAR(Sep_Dim1+6)=Année_Calendaire,MONTH(Sep_Dim1+6)=9),Sep_Dim1+6,""),IF(AND(YEAR(Sep_Dim1+13)=Année_Calendaire,MONTH(Sep_Dim1+13)=9),Sep_Dim1+13,""))</f>
        <v>43351</v>
      </c>
      <c r="R158" s="85">
        <f>IF(DAY(Sep_Dim1)=1,IF(AND(YEAR(Sep_Dim1+7)=Année_Calendaire,MONTH(Sep_Dim1+7)=9),Sep_Dim1+7,""),IF(AND(YEAR(Sep_Dim1+14)=Année_Calendaire,MONTH(Sep_Dim1+14)=9),Sep_Dim1+14,""))</f>
        <v>43352</v>
      </c>
      <c r="S158" s="113"/>
      <c r="T158" s="53"/>
      <c r="U158" s="85">
        <f>IF(DAY(Sep_Dim1)=1,IF(AND(YEAR(Sep_Dim1+8)=Année_Calendaire,MONTH(Sep_Dim1+8)=9),Sep_Dim1+8,""),IF(AND(YEAR(Sep_Dim1+15)=Année_Calendaire,MONTH(Sep_Dim1+15)=9),Sep_Dim1+15,""))</f>
        <v>43353</v>
      </c>
      <c r="V158" s="85">
        <f>IF(DAY(Sep_Dim1)=1,IF(AND(YEAR(Sep_Dim1+9)=Année_Calendaire,MONTH(Sep_Dim1+9)=9),Sep_Dim1+9,""),IF(AND(YEAR(Sep_Dim1+16)=Année_Calendaire,MONTH(Sep_Dim1+16)=9),Sep_Dim1+16,""))</f>
        <v>43354</v>
      </c>
      <c r="W158" s="85">
        <f>IF(DAY(Sep_Dim1)=1,IF(AND(YEAR(Sep_Dim1+10)=Année_Calendaire,MONTH(Sep_Dim1+10)=9),Sep_Dim1+10,""),IF(AND(YEAR(Sep_Dim1+17)=Année_Calendaire,MONTH(Sep_Dim1+17)=9),Sep_Dim1+17,""))</f>
        <v>43355</v>
      </c>
      <c r="X158" s="85">
        <f>IF(DAY(Sep_Dim1)=1,IF(AND(YEAR(Sep_Dim1+11)=Année_Calendaire,MONTH(Sep_Dim1+11)=9),Sep_Dim1+11,""),IF(AND(YEAR(Sep_Dim1+18)=Année_Calendaire,MONTH(Sep_Dim1+18)=9),Sep_Dim1+18,""))</f>
        <v>43356</v>
      </c>
      <c r="Y158" s="85">
        <f>IF(DAY(Sep_Dim1)=1,IF(AND(YEAR(Sep_Dim1+12)=Année_Calendaire,MONTH(Sep_Dim1+12)=9),Sep_Dim1+12,""),IF(AND(YEAR(Sep_Dim1+19)=Année_Calendaire,MONTH(Sep_Dim1+19)=9),Sep_Dim1+19,""))</f>
        <v>43357</v>
      </c>
      <c r="Z158" s="85">
        <f>IF(DAY(Sep_Dim1)=1,IF(AND(YEAR(Sep_Dim1+13)=Année_Calendaire,MONTH(Sep_Dim1+13)=9),Sep_Dim1+13,""),IF(AND(YEAR(Sep_Dim1+20)=Année_Calendaire,MONTH(Sep_Dim1+20)=9),Sep_Dim1+20,""))</f>
        <v>43358</v>
      </c>
      <c r="AA158" s="85">
        <f>IF(DAY(Sep_Dim1)=1,IF(AND(YEAR(Sep_Dim1+14)=Année_Calendaire,MONTH(Sep_Dim1+14)=9),Sep_Dim1+14,""),IF(AND(YEAR(Sep_Dim1+21)=Année_Calendaire,MONTH(Sep_Dim1+21)=9),Sep_Dim1+21,""))</f>
        <v>43359</v>
      </c>
      <c r="AB158" s="113"/>
      <c r="AC158" s="53"/>
      <c r="AD158" s="85">
        <f>IF(DAY(Sep_Dim1)=1,IF(AND(YEAR(Sep_Dim1+15)=Année_Calendaire,MONTH(Sep_Dim1+15)=9),Sep_Dim1+15,""),IF(AND(YEAR(Sep_Dim1+22)=Année_Calendaire,MONTH(Sep_Dim1+22)=9),Sep_Dim1+22,""))</f>
        <v>43360</v>
      </c>
      <c r="AE158" s="85">
        <f>IF(DAY(Sep_Dim1)=1,IF(AND(YEAR(Sep_Dim1+16)=Année_Calendaire,MONTH(Sep_Dim1+16)=9),Sep_Dim1+16,""),IF(AND(YEAR(Sep_Dim1+23)=Année_Calendaire,MONTH(Sep_Dim1+23)=9),Sep_Dim1+23,""))</f>
        <v>43361</v>
      </c>
      <c r="AF158" s="85">
        <f>IF(DAY(Sep_Dim1)=1,IF(AND(YEAR(Sep_Dim1+17)=Année_Calendaire,MONTH(Sep_Dim1+17)=9),Sep_Dim1+17,""),IF(AND(YEAR(Sep_Dim1+24)=Année_Calendaire,MONTH(Sep_Dim1+24)=9),Sep_Dim1+24,""))</f>
        <v>43362</v>
      </c>
      <c r="AG158" s="85">
        <f>IF(DAY(Sep_Dim1)=1,IF(AND(YEAR(Sep_Dim1+18)=Année_Calendaire,MONTH(Sep_Dim1+18)=9),Sep_Dim1+18,""),IF(AND(YEAR(Sep_Dim1+25)=Année_Calendaire,MONTH(Sep_Dim1+25)=9),Sep_Dim1+25,""))</f>
        <v>43363</v>
      </c>
      <c r="AH158" s="85">
        <f>IF(DAY(Sep_Dim1)=1,IF(AND(YEAR(Sep_Dim1+19)=Année_Calendaire,MONTH(Sep_Dim1+19)=9),Sep_Dim1+19,""),IF(AND(YEAR(Sep_Dim1+26)=Année_Calendaire,MONTH(Sep_Dim1+26)=9),Sep_Dim1+26,""))</f>
        <v>43364</v>
      </c>
      <c r="AI158" s="85">
        <f>IF(DAY(Sep_Dim1)=1,IF(AND(YEAR(Sep_Dim1+20)=Année_Calendaire,MONTH(Sep_Dim1+20)=9),Sep_Dim1+20,""),IF(AND(YEAR(Sep_Dim1+27)=Année_Calendaire,MONTH(Sep_Dim1+27)=9),Sep_Dim1+27,""))</f>
        <v>43365</v>
      </c>
      <c r="AJ158" s="85">
        <f>IF(DAY(Sep_Dim1)=1,IF(AND(YEAR(Sep_Dim1+21)=Année_Calendaire,MONTH(Sep_Dim1+21)=9),Sep_Dim1+21,""),IF(AND(YEAR(Sep_Dim1+28)=Année_Calendaire,MONTH(Sep_Dim1+28)=9),Sep_Dim1+28,""))</f>
        <v>43366</v>
      </c>
      <c r="AK158" s="113"/>
      <c r="AL158" s="53"/>
      <c r="AM158" s="85">
        <f>IF(DAY(Sep_Dim1)=1,IF(AND(YEAR(Sep_Dim1+22)=Année_Calendaire,MONTH(Sep_Dim1+22)=9),Sep_Dim1+22,""),IF(AND(YEAR(Sep_Dim1+29)=Année_Calendaire,MONTH(Sep_Dim1+29)=9),Sep_Dim1+29,""))</f>
        <v>43367</v>
      </c>
      <c r="AN158" s="85">
        <f>IF(DAY(Sep_Dim1)=1,IF(AND(YEAR(Sep_Dim1+23)=Année_Calendaire,MONTH(Sep_Dim1+23)=9),Sep_Dim1+23,""),IF(AND(YEAR(Sep_Dim1+30)=Année_Calendaire,MONTH(Sep_Dim1+30)=9),Sep_Dim1+30,""))</f>
        <v>43368</v>
      </c>
      <c r="AO158" s="85">
        <f>IF(DAY(Sep_Dim1)=1,IF(AND(YEAR(Sep_Dim1+24)=Année_Calendaire,MONTH(Sep_Dim1+24)=9),Sep_Dim1+24,""),IF(AND(YEAR(Sep_Dim1+31)=Année_Calendaire,MONTH(Sep_Dim1+31)=9),Sep_Dim1+31,""))</f>
        <v>43369</v>
      </c>
      <c r="AP158" s="85">
        <f>IF(DAY(Sep_Dim1)=1,IF(AND(YEAR(Sep_Dim1+25)=Année_Calendaire,MONTH(Sep_Dim1+25)=9),Sep_Dim1+25,""),IF(AND(YEAR(Sep_Dim1+32)=Année_Calendaire,MONTH(Sep_Dim1+32)=9),Sep_Dim1+32,""))</f>
        <v>43370</v>
      </c>
      <c r="AQ158" s="85">
        <f>IF(DAY(Sep_Dim1)=1,IF(AND(YEAR(Sep_Dim1+26)=Année_Calendaire,MONTH(Sep_Dim1+26)=9),Sep_Dim1+26,""),IF(AND(YEAR(Sep_Dim1+33)=Année_Calendaire,MONTH(Sep_Dim1+33)=9),Sep_Dim1+33,""))</f>
        <v>43371</v>
      </c>
      <c r="AR158" s="85">
        <f>IF(DAY(Sep_Dim1)=1,IF(AND(YEAR(Sep_Dim1+27)=Année_Calendaire,MONTH(Sep_Dim1+27)=9),Sep_Dim1+27,""),IF(AND(YEAR(Sep_Dim1+34)=Année_Calendaire,MONTH(Sep_Dim1+34)=9),Sep_Dim1+34,""))</f>
        <v>43372</v>
      </c>
      <c r="AS158" s="85">
        <f>IF(DAY(Sep_Dim1)=1,IF(AND(YEAR(Sep_Dim1+28)=Année_Calendaire,MONTH(Sep_Dim1+28)=9),Sep_Dim1+28,""),IF(AND(YEAR(Sep_Dim1+35)=Année_Calendaire,MONTH(Sep_Dim1+35)=9),Sep_Dim1+35,""))</f>
        <v>43373</v>
      </c>
      <c r="AT158" s="113"/>
      <c r="AU158" s="53"/>
      <c r="AV158" s="53" t="str">
        <f>IF(DAY(Sep_Dim1)=1,IF(AND(YEAR(Sep_Dim1+29)=Année_Calendaire,MONTH(Sep_Dim1+29)=9),Sep_Dim1+29,""),IF(AND(YEAR(Sep_Dim1+36)=Année_Calendaire,MONTH(Sep_Dim1+36)=9),Sep_Dim1+36,""))</f>
        <v/>
      </c>
      <c r="AW158" s="53" t="str">
        <f>IF(DAY(Sep_Dim1)=1,IF(AND(YEAR(Sep_Dim1+30)=Année_Calendaire,MONTH(Sep_Dim1+30)=9),Sep_Dim1+30,""),IF(AND(YEAR(Sep_Dim1+37)=Année_Calendaire,MONTH(Sep_Dim1+37)=9),Sep_Dim1+37,""))</f>
        <v/>
      </c>
      <c r="AX158" s="113"/>
      <c r="AY158" s="113"/>
      <c r="AZ158" s="114"/>
      <c r="BA158" s="114"/>
      <c r="BB158" s="31"/>
      <c r="BC158" s="31"/>
      <c r="BD158" s="31"/>
      <c r="BE158" s="31"/>
      <c r="BF158" s="23"/>
    </row>
    <row r="159" spans="1:59" s="5" customFormat="1" ht="15" customHeight="1">
      <c r="A159" s="47" t="s">
        <v>2</v>
      </c>
      <c r="B159" s="47"/>
      <c r="C159" s="48" t="str">
        <f>IF(C158="","",IFERROR(VLOOKUP(B157,DATA!$A$5:$H$9,2,TRUE),0))</f>
        <v/>
      </c>
      <c r="D159" s="48" t="str">
        <f>IF(D158="","",IFERROR(VLOOKUP(B157,DATA!$A$5:$H$9,3,TRUE),0))</f>
        <v/>
      </c>
      <c r="E159" s="48" t="str">
        <f>IF(E158="","",IFERROR(VLOOKUP(B157,DATA!$A$5:$H$9,4,TRUE),0))</f>
        <v/>
      </c>
      <c r="F159" s="48" t="str">
        <f>IF(F158="","",IFERROR(VLOOKUP(B157,DATA!$A$5:$H$9,5,TRUE),0))</f>
        <v/>
      </c>
      <c r="G159" s="48" t="str">
        <f>IF(G158="","",IFERROR(VLOOKUP(B157,DATA!$A$5:$H$9,6,TRUE),0))</f>
        <v/>
      </c>
      <c r="H159" s="48">
        <f>IF(H158="","",IFERROR(VLOOKUP(B157,DATA!$A$5:$H$9,7,TRUE),0))</f>
        <v>0</v>
      </c>
      <c r="I159" s="48">
        <f>IF(I158="","",IFERROR(VLOOKUP(B157,DATA!$A$5:$H$9,8,TRUE),0))</f>
        <v>0</v>
      </c>
      <c r="J159" s="51">
        <f>IF(B157="c1",24,IF((B157="c3"),24,40))</f>
        <v>40</v>
      </c>
      <c r="K159" s="47"/>
      <c r="L159" s="48" t="str">
        <f>IF(L158="","",IFERROR(VLOOKUP(K157,DATA!$A$5:$H$9,2,TRUE),0))</f>
        <v>matin</v>
      </c>
      <c r="M159" s="48">
        <f>IF(M158="","",IFERROR(VLOOKUP(K157,DATA!$A$5:$H$9,3,TRUE),0))</f>
        <v>0</v>
      </c>
      <c r="N159" s="48">
        <f>IF(N158="","",IFERROR(VLOOKUP(K157,DATA!$A$5:$H$9,4,TRUE),0))</f>
        <v>0</v>
      </c>
      <c r="O159" s="48" t="str">
        <f>IF(O158="","",IFERROR(VLOOKUP(K157,DATA!$A$5:$H$9,5,TRUE),0))</f>
        <v>matin</v>
      </c>
      <c r="P159" s="48" t="str">
        <f>IF(P158="","",IFERROR(VLOOKUP(K157,DATA!$A$5:$H$9,6,TRUE),0))</f>
        <v>matin</v>
      </c>
      <c r="Q159" s="48">
        <f>IF(Q158="","",IFERROR(VLOOKUP(K157,DATA!$A$5:$H$9,7,TRUE),0))</f>
        <v>0</v>
      </c>
      <c r="R159" s="48">
        <f>IF(R158="","",IFERROR(VLOOKUP(K157,DATA!$A$5:$H$9,8,TRUE),0))</f>
        <v>0</v>
      </c>
      <c r="S159" s="51">
        <f>IF(K157="c1",24,IF((K157="c3"),24,40))</f>
        <v>24</v>
      </c>
      <c r="T159" s="47"/>
      <c r="U159" s="48" t="str">
        <f>IF(U158="","",IFERROR(VLOOKUP(T157,DATA!$A$5:$H$9,2,TRUE),0))</f>
        <v>am</v>
      </c>
      <c r="V159" s="48" t="str">
        <f>IF(V158="","",IFERROR(VLOOKUP(T157,DATA!$A$5:$H$9,3,TRUE),0))</f>
        <v>am</v>
      </c>
      <c r="W159" s="48" t="str">
        <f>IF(W158="","",IFERROR(VLOOKUP(T157,DATA!$A$5:$H$9,4,TRUE),0))</f>
        <v>am</v>
      </c>
      <c r="X159" s="48" t="str">
        <f>IF(X158="","",IFERROR(VLOOKUP(T157,DATA!$A$5:$H$9,5,TRUE),0))</f>
        <v>am</v>
      </c>
      <c r="Y159" s="48" t="str">
        <f>IF(Y158="","",IFERROR(VLOOKUP(T157,DATA!$A$5:$H$9,6,TRUE),0))</f>
        <v>am</v>
      </c>
      <c r="Z159" s="48">
        <f>IF(Z158="","",IFERROR(VLOOKUP(T157,DATA!$A$5:$H$9,7,TRUE),0))</f>
        <v>0</v>
      </c>
      <c r="AA159" s="48">
        <f>IF(AA158="","",IFERROR(VLOOKUP(T157,DATA!$A$5:$H$9,8,TRUE),0))</f>
        <v>0</v>
      </c>
      <c r="AB159" s="51">
        <f>IF(T157="c1",24,IF((T157="c3"),24,40))</f>
        <v>40</v>
      </c>
      <c r="AC159" s="47"/>
      <c r="AD159" s="48" t="str">
        <f>IF(AD158="","",IFERROR(VLOOKUP(AC157,DATA!$A$5:$H$9,2,TRUE),0))</f>
        <v>matin</v>
      </c>
      <c r="AE159" s="48" t="str">
        <f>IF(AE158="","",IFERROR(VLOOKUP(AC157,DATA!$A$5:$H$9,3,TRUE),0))</f>
        <v>matin</v>
      </c>
      <c r="AF159" s="48" t="str">
        <f>IF(AF158="","",IFERROR(VLOOKUP(AC157,DATA!$A$5:$H$9,4,TRUE),0))</f>
        <v>matin</v>
      </c>
      <c r="AG159" s="48">
        <f>IF(AG158="","",IFERROR(VLOOKUP(AC157,DATA!$A$5:$H$9,5,TRUE),0))</f>
        <v>0</v>
      </c>
      <c r="AH159" s="48">
        <f>IF(AH158="","",IFERROR(VLOOKUP(AC157,DATA!$A$5:$H$9,6,TRUE),0))</f>
        <v>0</v>
      </c>
      <c r="AI159" s="48">
        <f>IF(AI158="","",IFERROR(VLOOKUP(AC157,DATA!$A$5:$H$9,7,TRUE),0))</f>
        <v>0</v>
      </c>
      <c r="AJ159" s="48">
        <f>IF(AJ158="","",IFERROR(VLOOKUP(AC157,DATA!$A$5:$H$9,8,TRUE),0))</f>
        <v>0</v>
      </c>
      <c r="AK159" s="51">
        <f>IF(AC157="c1",24,IF((AC157="c3"),24,40))</f>
        <v>24</v>
      </c>
      <c r="AL159" s="47"/>
      <c r="AM159" s="48" t="str">
        <f>IF(AM158="","",IFERROR(VLOOKUP(AL157,DATA!$A$5:$H$9,2,TRUE),0))</f>
        <v>nuit</v>
      </c>
      <c r="AN159" s="48" t="str">
        <f>IF(AN158="","",IFERROR(VLOOKUP(AL157,DATA!$A$5:$H$9,3,TRUE),0))</f>
        <v>nuit</v>
      </c>
      <c r="AO159" s="48" t="str">
        <f>IF(AO158="","",IFERROR(VLOOKUP(AL157,DATA!$A$5:$H$9,4,TRUE),0))</f>
        <v>nuit</v>
      </c>
      <c r="AP159" s="48" t="str">
        <f>IF(AP158="","",IFERROR(VLOOKUP(AL157,DATA!$A$5:$H$9,5,TRUE),0))</f>
        <v>nuit</v>
      </c>
      <c r="AQ159" s="48" t="str">
        <f>IF(AQ158="","",IFERROR(VLOOKUP(AL157,DATA!$A$5:$H$9,6,TRUE),0))</f>
        <v>nuit</v>
      </c>
      <c r="AR159" s="48">
        <f>IF(AR158="","",IFERROR(VLOOKUP(AL157,DATA!$A$5:$H$9,7,TRUE),0))</f>
        <v>0</v>
      </c>
      <c r="AS159" s="48">
        <f>IF(AS158="","",IFERROR(VLOOKUP(AL157,DATA!$A$5:$H$9,8,TRUE),0))</f>
        <v>0</v>
      </c>
      <c r="AT159" s="51">
        <f>IF(AL157="c1",24,IF((AL157="c3"),24,40))</f>
        <v>40</v>
      </c>
      <c r="AU159" s="47"/>
      <c r="AV159" s="48" t="str">
        <f>IF(AV158="","",IFERROR(VLOOKUP(AU157,DATA!$A$5:$H$9,2,TRUE),0))</f>
        <v/>
      </c>
      <c r="AW159" s="48" t="str">
        <f>IF(AW158="","",IFERROR(VLOOKUP(AU157,DATA!$A$5:$H$9,3,TRUE),0))</f>
        <v/>
      </c>
      <c r="AX159" s="51">
        <f>IF(AP157="c1",24,IF((AP157="c3"),24,40))</f>
        <v>40</v>
      </c>
      <c r="AY159" s="49"/>
      <c r="AZ159" s="39"/>
      <c r="BA159" s="39"/>
      <c r="BB159" s="39"/>
      <c r="BC159" s="39"/>
      <c r="BD159" s="39"/>
      <c r="BE159" s="39"/>
      <c r="BF159" s="29"/>
    </row>
    <row r="160" spans="1:59" s="27" customFormat="1" ht="15" customHeight="1">
      <c r="A160" s="50" t="s">
        <v>12</v>
      </c>
      <c r="B160" s="50"/>
      <c r="C160" s="51">
        <f t="shared" ref="C160:I160" si="352">IF(C159="Matin",1,IF(C159="AM",1,0))</f>
        <v>0</v>
      </c>
      <c r="D160" s="51">
        <f t="shared" si="352"/>
        <v>0</v>
      </c>
      <c r="E160" s="51">
        <f t="shared" si="352"/>
        <v>0</v>
      </c>
      <c r="F160" s="51">
        <f t="shared" si="352"/>
        <v>0</v>
      </c>
      <c r="G160" s="51">
        <f t="shared" si="352"/>
        <v>0</v>
      </c>
      <c r="H160" s="51">
        <f t="shared" si="352"/>
        <v>0</v>
      </c>
      <c r="I160" s="51">
        <f t="shared" si="352"/>
        <v>0</v>
      </c>
      <c r="J160" s="51">
        <f>SUM(C160:I160)</f>
        <v>0</v>
      </c>
      <c r="K160" s="50"/>
      <c r="L160" s="51">
        <f t="shared" ref="L160:R160" si="353">IF(L159="Matin",1,IF(L159="AM",1,0))</f>
        <v>1</v>
      </c>
      <c r="M160" s="51">
        <f t="shared" si="353"/>
        <v>0</v>
      </c>
      <c r="N160" s="51">
        <f t="shared" si="353"/>
        <v>0</v>
      </c>
      <c r="O160" s="51">
        <f t="shared" si="353"/>
        <v>1</v>
      </c>
      <c r="P160" s="51">
        <f t="shared" si="353"/>
        <v>1</v>
      </c>
      <c r="Q160" s="51">
        <f t="shared" si="353"/>
        <v>0</v>
      </c>
      <c r="R160" s="51">
        <f t="shared" si="353"/>
        <v>0</v>
      </c>
      <c r="S160" s="51">
        <f>SUM(L160:R160)</f>
        <v>3</v>
      </c>
      <c r="T160" s="50"/>
      <c r="U160" s="51">
        <f t="shared" ref="U160:AA160" si="354">IF(U159="Matin",1,IF(U159="AM",1,0))</f>
        <v>1</v>
      </c>
      <c r="V160" s="51">
        <f t="shared" si="354"/>
        <v>1</v>
      </c>
      <c r="W160" s="51">
        <f t="shared" si="354"/>
        <v>1</v>
      </c>
      <c r="X160" s="51">
        <f t="shared" si="354"/>
        <v>1</v>
      </c>
      <c r="Y160" s="51">
        <f t="shared" si="354"/>
        <v>1</v>
      </c>
      <c r="Z160" s="51">
        <f t="shared" si="354"/>
        <v>0</v>
      </c>
      <c r="AA160" s="51">
        <f t="shared" si="354"/>
        <v>0</v>
      </c>
      <c r="AB160" s="51">
        <f>SUM(U160:AA160)</f>
        <v>5</v>
      </c>
      <c r="AC160" s="50"/>
      <c r="AD160" s="51">
        <f t="shared" ref="AD160:AJ160" si="355">IF(AD159="Matin",1,IF(AD159="AM",1,0))</f>
        <v>1</v>
      </c>
      <c r="AE160" s="51">
        <f t="shared" si="355"/>
        <v>1</v>
      </c>
      <c r="AF160" s="51">
        <f t="shared" si="355"/>
        <v>1</v>
      </c>
      <c r="AG160" s="51">
        <f t="shared" si="355"/>
        <v>0</v>
      </c>
      <c r="AH160" s="51">
        <f t="shared" si="355"/>
        <v>0</v>
      </c>
      <c r="AI160" s="51">
        <f t="shared" si="355"/>
        <v>0</v>
      </c>
      <c r="AJ160" s="51">
        <f t="shared" si="355"/>
        <v>0</v>
      </c>
      <c r="AK160" s="51">
        <f>SUM(AD160:AJ160)</f>
        <v>3</v>
      </c>
      <c r="AL160" s="50"/>
      <c r="AM160" s="51">
        <f t="shared" ref="AM160:AS160" si="356">IF(AM159="Matin",1,IF(AM159="AM",1,0))</f>
        <v>0</v>
      </c>
      <c r="AN160" s="51">
        <f t="shared" si="356"/>
        <v>0</v>
      </c>
      <c r="AO160" s="51">
        <f t="shared" si="356"/>
        <v>0</v>
      </c>
      <c r="AP160" s="51">
        <f t="shared" si="356"/>
        <v>0</v>
      </c>
      <c r="AQ160" s="51">
        <f t="shared" si="356"/>
        <v>0</v>
      </c>
      <c r="AR160" s="51">
        <f t="shared" si="356"/>
        <v>0</v>
      </c>
      <c r="AS160" s="51">
        <f t="shared" si="356"/>
        <v>0</v>
      </c>
      <c r="AT160" s="51">
        <f>SUM(AM160:AS160)</f>
        <v>0</v>
      </c>
      <c r="AU160" s="50"/>
      <c r="AV160" s="51">
        <f t="shared" ref="AV160:AW160" si="357">IF(AV159="Matin",1,IF(AV159="AM",1,0))</f>
        <v>0</v>
      </c>
      <c r="AW160" s="51">
        <f t="shared" si="357"/>
        <v>0</v>
      </c>
      <c r="AX160" s="51">
        <f>SUM(AV160:AW160)</f>
        <v>0</v>
      </c>
      <c r="AY160" s="51">
        <f>J160+S160+AB160+AK160+AT160+AX160</f>
        <v>11</v>
      </c>
      <c r="AZ160" s="25"/>
      <c r="BA160" s="25"/>
      <c r="BB160" s="25"/>
      <c r="BC160" s="25"/>
      <c r="BD160" s="25"/>
      <c r="BE160" s="25"/>
      <c r="BF160" s="25"/>
      <c r="BG160" s="28"/>
    </row>
    <row r="161" spans="1:59" s="27" customFormat="1" ht="15" customHeight="1">
      <c r="A161" s="47" t="s">
        <v>4</v>
      </c>
      <c r="B161" s="47"/>
      <c r="C161" s="48">
        <f>IF(C162&gt;=1,1,0)</f>
        <v>0</v>
      </c>
      <c r="D161" s="48">
        <f>IF(D162&gt;=1,1,0)</f>
        <v>0</v>
      </c>
      <c r="E161" s="48">
        <f t="shared" ref="E161:I161" si="358">IF(E162&gt;=1,1,0)</f>
        <v>0</v>
      </c>
      <c r="F161" s="48">
        <f t="shared" si="358"/>
        <v>0</v>
      </c>
      <c r="G161" s="48">
        <f t="shared" si="358"/>
        <v>0</v>
      </c>
      <c r="H161" s="48">
        <f t="shared" si="358"/>
        <v>0</v>
      </c>
      <c r="I161" s="48">
        <f t="shared" si="358"/>
        <v>0</v>
      </c>
      <c r="J161" s="51">
        <f t="shared" ref="J161:J166" si="359">SUM(C161:I161)</f>
        <v>0</v>
      </c>
      <c r="K161" s="47"/>
      <c r="L161" s="48">
        <f>IF(L162&gt;=1,1,0)</f>
        <v>1</v>
      </c>
      <c r="M161" s="48">
        <f t="shared" ref="M161:R161" si="360">IF(M162&gt;=1,1,0)</f>
        <v>0</v>
      </c>
      <c r="N161" s="48">
        <f t="shared" si="360"/>
        <v>0</v>
      </c>
      <c r="O161" s="48">
        <f t="shared" si="360"/>
        <v>1</v>
      </c>
      <c r="P161" s="48">
        <f t="shared" si="360"/>
        <v>1</v>
      </c>
      <c r="Q161" s="48">
        <f t="shared" si="360"/>
        <v>0</v>
      </c>
      <c r="R161" s="48">
        <f t="shared" si="360"/>
        <v>0</v>
      </c>
      <c r="S161" s="51">
        <f t="shared" ref="S161:S166" si="361">SUM(L161:R161)</f>
        <v>3</v>
      </c>
      <c r="T161" s="47"/>
      <c r="U161" s="48">
        <f>IF(U162&gt;=1,1,0)</f>
        <v>1</v>
      </c>
      <c r="V161" s="48">
        <f t="shared" ref="V161:AA161" si="362">IF(V162&gt;=1,1,0)</f>
        <v>1</v>
      </c>
      <c r="W161" s="48">
        <f t="shared" si="362"/>
        <v>1</v>
      </c>
      <c r="X161" s="48">
        <f t="shared" si="362"/>
        <v>1</v>
      </c>
      <c r="Y161" s="48">
        <f t="shared" si="362"/>
        <v>1</v>
      </c>
      <c r="Z161" s="48">
        <f t="shared" si="362"/>
        <v>0</v>
      </c>
      <c r="AA161" s="48">
        <f t="shared" si="362"/>
        <v>0</v>
      </c>
      <c r="AB161" s="51">
        <f t="shared" ref="AB161:AB166" si="363">SUM(U161:AA161)</f>
        <v>5</v>
      </c>
      <c r="AC161" s="47"/>
      <c r="AD161" s="48">
        <f>IF(AD162&gt;=1,1,0)</f>
        <v>1</v>
      </c>
      <c r="AE161" s="48">
        <f t="shared" ref="AE161:AJ161" si="364">IF(AE162&gt;=1,1,0)</f>
        <v>1</v>
      </c>
      <c r="AF161" s="48">
        <f t="shared" si="364"/>
        <v>1</v>
      </c>
      <c r="AG161" s="48">
        <f t="shared" si="364"/>
        <v>0</v>
      </c>
      <c r="AH161" s="48">
        <f t="shared" si="364"/>
        <v>0</v>
      </c>
      <c r="AI161" s="48">
        <f t="shared" si="364"/>
        <v>0</v>
      </c>
      <c r="AJ161" s="48">
        <f t="shared" si="364"/>
        <v>0</v>
      </c>
      <c r="AK161" s="51">
        <f t="shared" ref="AK161:AK166" si="365">SUM(AD161:AJ161)</f>
        <v>3</v>
      </c>
      <c r="AL161" s="47"/>
      <c r="AM161" s="48">
        <f>IF(AM162&gt;=1,1,0)</f>
        <v>1</v>
      </c>
      <c r="AN161" s="48">
        <f t="shared" ref="AN161:AS161" si="366">IF(AN162&gt;=1,1,0)</f>
        <v>1</v>
      </c>
      <c r="AO161" s="48">
        <f t="shared" si="366"/>
        <v>1</v>
      </c>
      <c r="AP161" s="48">
        <f t="shared" si="366"/>
        <v>1</v>
      </c>
      <c r="AQ161" s="48">
        <f t="shared" si="366"/>
        <v>1</v>
      </c>
      <c r="AR161" s="48">
        <f t="shared" si="366"/>
        <v>0</v>
      </c>
      <c r="AS161" s="48">
        <f t="shared" si="366"/>
        <v>0</v>
      </c>
      <c r="AT161" s="51">
        <f t="shared" ref="AT161:AT166" si="367">SUM(AM161:AS161)</f>
        <v>5</v>
      </c>
      <c r="AU161" s="47"/>
      <c r="AV161" s="48">
        <f>IF(AV162&gt;=1,1,0)</f>
        <v>0</v>
      </c>
      <c r="AW161" s="48">
        <f t="shared" ref="AW161" si="368">IF(AW162&gt;=1,1,0)</f>
        <v>0</v>
      </c>
      <c r="AX161" s="51">
        <f>SUM(AV161:AW161)</f>
        <v>0</v>
      </c>
      <c r="AY161" s="48">
        <f t="shared" ref="AY161:AY170" si="369">J161+S161+AB161+AK161+AT161+AX161</f>
        <v>16</v>
      </c>
      <c r="AZ161" s="39"/>
      <c r="BA161" s="39"/>
      <c r="BB161" s="39"/>
      <c r="BC161" s="39"/>
      <c r="BD161" s="39"/>
      <c r="BE161" s="39"/>
      <c r="BF161" s="29"/>
    </row>
    <row r="162" spans="1:59" s="27" customFormat="1" ht="15" customHeight="1">
      <c r="A162" s="50" t="s">
        <v>3</v>
      </c>
      <c r="B162" s="50"/>
      <c r="C162" s="51">
        <f>IF(C159="Matin",8,IF(C159="AM",8,IF(C159="nuit",8,0)))</f>
        <v>0</v>
      </c>
      <c r="D162" s="51">
        <f t="shared" ref="D162:I162" si="370">IF(D159="Matin",8,IF(D159="AM",8,IF(D159="nuit",8,0)))</f>
        <v>0</v>
      </c>
      <c r="E162" s="51">
        <f t="shared" si="370"/>
        <v>0</v>
      </c>
      <c r="F162" s="51">
        <f t="shared" si="370"/>
        <v>0</v>
      </c>
      <c r="G162" s="51">
        <f t="shared" si="370"/>
        <v>0</v>
      </c>
      <c r="H162" s="51">
        <f t="shared" si="370"/>
        <v>0</v>
      </c>
      <c r="I162" s="51">
        <f t="shared" si="370"/>
        <v>0</v>
      </c>
      <c r="J162" s="51">
        <f t="shared" si="359"/>
        <v>0</v>
      </c>
      <c r="K162" s="50"/>
      <c r="L162" s="51">
        <f>IF(L159="Matin",8,IF(L159="AM",8,IF(L159="nuit",8,0)))</f>
        <v>8</v>
      </c>
      <c r="M162" s="51">
        <f t="shared" ref="M162:R162" si="371">IF(M159="Matin",8,IF(M159="AM",8,IF(M159="nuit",8,0)))</f>
        <v>0</v>
      </c>
      <c r="N162" s="51">
        <f t="shared" si="371"/>
        <v>0</v>
      </c>
      <c r="O162" s="51">
        <f t="shared" si="371"/>
        <v>8</v>
      </c>
      <c r="P162" s="51">
        <f t="shared" si="371"/>
        <v>8</v>
      </c>
      <c r="Q162" s="51">
        <f t="shared" si="371"/>
        <v>0</v>
      </c>
      <c r="R162" s="51">
        <f t="shared" si="371"/>
        <v>0</v>
      </c>
      <c r="S162" s="51">
        <f t="shared" si="361"/>
        <v>24</v>
      </c>
      <c r="T162" s="50"/>
      <c r="U162" s="51">
        <f>IF(U159="Matin",8,IF(U159="AM",8,IF(U159="nuit",8,0)))</f>
        <v>8</v>
      </c>
      <c r="V162" s="51">
        <f t="shared" ref="V162:AA162" si="372">IF(V159="Matin",8,IF(V159="AM",8,IF(V159="nuit",8,0)))</f>
        <v>8</v>
      </c>
      <c r="W162" s="51">
        <f t="shared" si="372"/>
        <v>8</v>
      </c>
      <c r="X162" s="51">
        <f t="shared" si="372"/>
        <v>8</v>
      </c>
      <c r="Y162" s="51">
        <f t="shared" si="372"/>
        <v>8</v>
      </c>
      <c r="Z162" s="51">
        <f t="shared" si="372"/>
        <v>0</v>
      </c>
      <c r="AA162" s="51">
        <f t="shared" si="372"/>
        <v>0</v>
      </c>
      <c r="AB162" s="51">
        <f t="shared" si="363"/>
        <v>40</v>
      </c>
      <c r="AC162" s="50"/>
      <c r="AD162" s="51">
        <f>IF(AD159="Matin",8,IF(AD159="AM",8,IF(AD159="nuit",8,0)))</f>
        <v>8</v>
      </c>
      <c r="AE162" s="51">
        <f t="shared" ref="AE162:AJ162" si="373">IF(AE159="Matin",8,IF(AE159="AM",8,IF(AE159="nuit",8,0)))</f>
        <v>8</v>
      </c>
      <c r="AF162" s="51">
        <f t="shared" si="373"/>
        <v>8</v>
      </c>
      <c r="AG162" s="51">
        <f t="shared" si="373"/>
        <v>0</v>
      </c>
      <c r="AH162" s="51">
        <f t="shared" si="373"/>
        <v>0</v>
      </c>
      <c r="AI162" s="51">
        <f t="shared" si="373"/>
        <v>0</v>
      </c>
      <c r="AJ162" s="51">
        <f t="shared" si="373"/>
        <v>0</v>
      </c>
      <c r="AK162" s="51">
        <f t="shared" si="365"/>
        <v>24</v>
      </c>
      <c r="AL162" s="50"/>
      <c r="AM162" s="51">
        <f>IF(AM159="Matin",8,IF(AM159="AM",8,IF(AM159="nuit",8,0)))</f>
        <v>8</v>
      </c>
      <c r="AN162" s="51">
        <f t="shared" ref="AN162:AS162" si="374">IF(AN159="Matin",8,IF(AN159="AM",8,IF(AN159="nuit",8,0)))</f>
        <v>8</v>
      </c>
      <c r="AO162" s="51">
        <f t="shared" si="374"/>
        <v>8</v>
      </c>
      <c r="AP162" s="51">
        <f t="shared" si="374"/>
        <v>8</v>
      </c>
      <c r="AQ162" s="51">
        <f t="shared" si="374"/>
        <v>8</v>
      </c>
      <c r="AR162" s="51">
        <f t="shared" si="374"/>
        <v>0</v>
      </c>
      <c r="AS162" s="51">
        <f t="shared" si="374"/>
        <v>0</v>
      </c>
      <c r="AT162" s="51">
        <f t="shared" si="367"/>
        <v>40</v>
      </c>
      <c r="AU162" s="50"/>
      <c r="AV162" s="51">
        <f>IF(AV159="Matin",8,IF(AV159="AM",8,IF(AV159="nuit",8,0)))</f>
        <v>0</v>
      </c>
      <c r="AW162" s="51">
        <f t="shared" ref="AW162" si="375">IF(AW159="Matin",8,IF(AW159="AM",8,IF(AW159="nuit",8,0)))</f>
        <v>0</v>
      </c>
      <c r="AX162" s="51">
        <f>SUM(AV162:AW162)</f>
        <v>0</v>
      </c>
      <c r="AY162" s="51">
        <f t="shared" si="369"/>
        <v>128</v>
      </c>
      <c r="AZ162" s="25"/>
      <c r="BA162" s="25"/>
      <c r="BB162" s="25"/>
      <c r="BC162" s="25"/>
      <c r="BD162" s="25"/>
      <c r="BE162" s="25"/>
      <c r="BF162" s="25"/>
      <c r="BG162" s="28"/>
    </row>
    <row r="163" spans="1:59" s="5" customFormat="1" ht="15" customHeight="1">
      <c r="A163" s="47" t="s">
        <v>13</v>
      </c>
      <c r="B163" s="47"/>
      <c r="C163" s="48"/>
      <c r="D163" s="48"/>
      <c r="E163" s="48"/>
      <c r="F163" s="48"/>
      <c r="G163" s="48"/>
      <c r="H163" s="48"/>
      <c r="I163" s="48"/>
      <c r="J163" s="51">
        <f>MAX(MIN(DATA!$D$22-DATA!$C$22,Travail!J162-Travail!J159-I162),0)</f>
        <v>0</v>
      </c>
      <c r="K163" s="47"/>
      <c r="L163" s="48"/>
      <c r="M163" s="48"/>
      <c r="N163" s="48"/>
      <c r="O163" s="48"/>
      <c r="P163" s="48"/>
      <c r="Q163" s="48"/>
      <c r="R163" s="48"/>
      <c r="S163" s="51">
        <f>MAX(MIN(DATA!$D$22-DATA!$C$22,Travail!S162-Travail!S159-R162),0)</f>
        <v>0</v>
      </c>
      <c r="T163" s="47"/>
      <c r="U163" s="48"/>
      <c r="V163" s="48"/>
      <c r="W163" s="48"/>
      <c r="X163" s="48"/>
      <c r="Y163" s="48"/>
      <c r="Z163" s="48"/>
      <c r="AA163" s="48"/>
      <c r="AB163" s="51">
        <f>MAX(MIN(DATA!$D$22-DATA!$C$22,Travail!AB162-Travail!AB159-AA162),0)</f>
        <v>0</v>
      </c>
      <c r="AC163" s="47"/>
      <c r="AD163" s="48"/>
      <c r="AE163" s="48"/>
      <c r="AF163" s="48"/>
      <c r="AG163" s="48"/>
      <c r="AH163" s="48"/>
      <c r="AI163" s="48"/>
      <c r="AJ163" s="48"/>
      <c r="AK163" s="51">
        <f>MAX(MIN(DATA!$D$22-DATA!$C$22,Travail!AK162-Travail!AK159-AJ162),0)</f>
        <v>0</v>
      </c>
      <c r="AL163" s="47"/>
      <c r="AM163" s="48"/>
      <c r="AN163" s="48"/>
      <c r="AO163" s="48"/>
      <c r="AP163" s="48"/>
      <c r="AQ163" s="48"/>
      <c r="AR163" s="48"/>
      <c r="AS163" s="48"/>
      <c r="AT163" s="51">
        <f>MAX(MIN(DATA!$D$22-DATA!$C$22,Travail!AT162-Travail!AT159-AS162),0)</f>
        <v>0</v>
      </c>
      <c r="AU163" s="47"/>
      <c r="AV163" s="48"/>
      <c r="AW163" s="48"/>
      <c r="AX163" s="51">
        <f>MAX(MIN(DATA!$D$22-DATA!$C$22,Travail!AX162-Travail!AX159),0)</f>
        <v>0</v>
      </c>
      <c r="AY163" s="49">
        <f t="shared" si="369"/>
        <v>0</v>
      </c>
      <c r="AZ163" s="39"/>
      <c r="BA163" s="39"/>
      <c r="BB163" s="39"/>
      <c r="BC163" s="39"/>
      <c r="BD163" s="39"/>
      <c r="BE163" s="39"/>
      <c r="BF163" s="29"/>
    </row>
    <row r="164" spans="1:59" s="27" customFormat="1" ht="15" customHeight="1">
      <c r="A164" s="50" t="s">
        <v>6</v>
      </c>
      <c r="B164" s="50"/>
      <c r="C164" s="51"/>
      <c r="D164" s="51"/>
      <c r="E164" s="51"/>
      <c r="F164" s="51"/>
      <c r="G164" s="51"/>
      <c r="H164" s="51"/>
      <c r="I164" s="51"/>
      <c r="J164" s="51">
        <f>MAX(MIN(DATA!$E$22-DATA!$D$22,Travail!J162-Travail!J159-Travail!J163-I162),0)</f>
        <v>0</v>
      </c>
      <c r="K164" s="50"/>
      <c r="L164" s="51"/>
      <c r="M164" s="51"/>
      <c r="N164" s="51"/>
      <c r="O164" s="51"/>
      <c r="P164" s="51"/>
      <c r="Q164" s="51"/>
      <c r="R164" s="51"/>
      <c r="S164" s="51">
        <f>MAX(MIN(DATA!$E$22-DATA!$D$22,Travail!S162-Travail!S159-Travail!S163-R162),0)</f>
        <v>0</v>
      </c>
      <c r="T164" s="50"/>
      <c r="U164" s="51"/>
      <c r="V164" s="51"/>
      <c r="W164" s="51"/>
      <c r="X164" s="51"/>
      <c r="Y164" s="51"/>
      <c r="Z164" s="51"/>
      <c r="AA164" s="51"/>
      <c r="AB164" s="51">
        <f>MAX(MIN(DATA!$E$22-DATA!$D$22,Travail!AB162-Travail!AB159-Travail!AB163-AA162),0)</f>
        <v>0</v>
      </c>
      <c r="AC164" s="50"/>
      <c r="AD164" s="51"/>
      <c r="AE164" s="51"/>
      <c r="AF164" s="51"/>
      <c r="AG164" s="51"/>
      <c r="AH164" s="51"/>
      <c r="AI164" s="51"/>
      <c r="AJ164" s="51"/>
      <c r="AK164" s="51">
        <f>MAX(MIN(DATA!$E$22-DATA!$D$22,Travail!AK162-Travail!AK159-Travail!AK163-AJ162),0)</f>
        <v>0</v>
      </c>
      <c r="AL164" s="50"/>
      <c r="AM164" s="51"/>
      <c r="AN164" s="51"/>
      <c r="AO164" s="51"/>
      <c r="AP164" s="51"/>
      <c r="AQ164" s="51"/>
      <c r="AR164" s="51"/>
      <c r="AS164" s="51"/>
      <c r="AT164" s="51">
        <f>MAX(MIN(DATA!$E$22-DATA!$D$22,Travail!AT162-Travail!AT159-Travail!AT163-AS162),0)</f>
        <v>0</v>
      </c>
      <c r="AU164" s="50"/>
      <c r="AV164" s="51"/>
      <c r="AW164" s="51"/>
      <c r="AX164" s="51">
        <f>MAX(MIN(DATA!$E$22-DATA!$D$22,Travail!AX162-Travail!AX159-Travail!AX163),0)</f>
        <v>0</v>
      </c>
      <c r="AY164" s="51">
        <f t="shared" si="369"/>
        <v>0</v>
      </c>
      <c r="AZ164" s="25"/>
      <c r="BA164" s="25"/>
      <c r="BB164" s="25"/>
      <c r="BC164" s="25"/>
      <c r="BD164" s="25"/>
      <c r="BE164" s="25"/>
      <c r="BF164" s="25"/>
      <c r="BG164" s="28"/>
    </row>
    <row r="165" spans="1:59" s="5" customFormat="1" ht="15" customHeight="1">
      <c r="A165" s="47" t="s">
        <v>5</v>
      </c>
      <c r="B165" s="47"/>
      <c r="C165" s="48"/>
      <c r="D165" s="48"/>
      <c r="E165" s="48"/>
      <c r="F165" s="48"/>
      <c r="G165" s="48"/>
      <c r="H165" s="48"/>
      <c r="I165" s="48"/>
      <c r="J165" s="51">
        <f>MAX(J162-J159-J164-J163-J166,0)</f>
        <v>0</v>
      </c>
      <c r="K165" s="47"/>
      <c r="L165" s="48"/>
      <c r="M165" s="48"/>
      <c r="N165" s="48"/>
      <c r="O165" s="48"/>
      <c r="P165" s="48"/>
      <c r="Q165" s="48"/>
      <c r="R165" s="48"/>
      <c r="S165" s="51">
        <f>MAX(S162-S159-S164-S163-S166,0)</f>
        <v>0</v>
      </c>
      <c r="T165" s="47"/>
      <c r="U165" s="48"/>
      <c r="V165" s="48"/>
      <c r="W165" s="48"/>
      <c r="X165" s="48"/>
      <c r="Y165" s="48"/>
      <c r="Z165" s="48"/>
      <c r="AA165" s="48"/>
      <c r="AB165" s="51">
        <f>MAX(AB162-AB159-AB164-AB163-AB166,0)</f>
        <v>0</v>
      </c>
      <c r="AC165" s="47"/>
      <c r="AD165" s="48"/>
      <c r="AE165" s="48"/>
      <c r="AF165" s="48"/>
      <c r="AG165" s="48"/>
      <c r="AH165" s="48"/>
      <c r="AI165" s="48"/>
      <c r="AJ165" s="48"/>
      <c r="AK165" s="51">
        <f>MAX(AK162-AK159-AK164-AK163-AK166,0)</f>
        <v>0</v>
      </c>
      <c r="AL165" s="47"/>
      <c r="AM165" s="48"/>
      <c r="AN165" s="48"/>
      <c r="AO165" s="48"/>
      <c r="AP165" s="48"/>
      <c r="AQ165" s="48"/>
      <c r="AR165" s="48"/>
      <c r="AS165" s="48"/>
      <c r="AT165" s="51">
        <f>MAX(AT162-AT159-AT164-AT163-AT166,0)</f>
        <v>0</v>
      </c>
      <c r="AU165" s="47"/>
      <c r="AV165" s="48"/>
      <c r="AW165" s="48"/>
      <c r="AX165" s="97">
        <f>MAX(AX162-AX159-AX164-AX163,0)</f>
        <v>0</v>
      </c>
      <c r="AY165" s="49">
        <f t="shared" si="369"/>
        <v>0</v>
      </c>
      <c r="AZ165" s="39"/>
      <c r="BA165" s="39"/>
      <c r="BB165" s="39"/>
      <c r="BC165" s="39"/>
      <c r="BD165" s="39"/>
      <c r="BE165" s="39"/>
      <c r="BF165" s="29"/>
    </row>
    <row r="166" spans="1:59" s="27" customFormat="1" ht="15" customHeight="1">
      <c r="A166" s="50" t="s">
        <v>7</v>
      </c>
      <c r="B166" s="50"/>
      <c r="C166" s="51">
        <f>IF(C157="Dim",C162,IF(C172="ferie",C162,0))</f>
        <v>0</v>
      </c>
      <c r="D166" s="51">
        <f t="shared" ref="D166:I166" si="376">IF(D157="Dim",D162,IF(D172="ferie",D162,0))</f>
        <v>0</v>
      </c>
      <c r="E166" s="51">
        <f t="shared" si="376"/>
        <v>0</v>
      </c>
      <c r="F166" s="51">
        <f t="shared" si="376"/>
        <v>0</v>
      </c>
      <c r="G166" s="51">
        <f t="shared" si="376"/>
        <v>0</v>
      </c>
      <c r="H166" s="51">
        <f t="shared" si="376"/>
        <v>0</v>
      </c>
      <c r="I166" s="51">
        <f t="shared" si="376"/>
        <v>0</v>
      </c>
      <c r="J166" s="51">
        <f t="shared" si="359"/>
        <v>0</v>
      </c>
      <c r="K166" s="50"/>
      <c r="L166" s="51">
        <f>IF(L157="Dim",L162,IF(L172="ferie",L162,0))</f>
        <v>0</v>
      </c>
      <c r="M166" s="51">
        <f t="shared" ref="M166:R166" si="377">IF(M157="Dim",M162,IF(M172="ferie",M162,0))</f>
        <v>0</v>
      </c>
      <c r="N166" s="51">
        <f t="shared" si="377"/>
        <v>0</v>
      </c>
      <c r="O166" s="51">
        <f t="shared" si="377"/>
        <v>0</v>
      </c>
      <c r="P166" s="51">
        <f t="shared" si="377"/>
        <v>0</v>
      </c>
      <c r="Q166" s="51">
        <f>IF(Q157="Dim",Q162,IF(Q172="ferie",Q162,0))</f>
        <v>0</v>
      </c>
      <c r="R166" s="51">
        <f t="shared" si="377"/>
        <v>0</v>
      </c>
      <c r="S166" s="51">
        <f t="shared" si="361"/>
        <v>0</v>
      </c>
      <c r="T166" s="50"/>
      <c r="U166" s="51">
        <f>IF(U157="Dim",U162,IF(U172="ferie",U162,0))</f>
        <v>0</v>
      </c>
      <c r="V166" s="51">
        <f t="shared" ref="V166:AA166" si="378">IF(V157="Dim",V162,IF(V172="ferie",V162,0))</f>
        <v>0</v>
      </c>
      <c r="W166" s="51">
        <f t="shared" si="378"/>
        <v>0</v>
      </c>
      <c r="X166" s="51">
        <f t="shared" si="378"/>
        <v>0</v>
      </c>
      <c r="Y166" s="51">
        <f t="shared" si="378"/>
        <v>0</v>
      </c>
      <c r="Z166" s="51">
        <f t="shared" si="378"/>
        <v>0</v>
      </c>
      <c r="AA166" s="51">
        <f t="shared" si="378"/>
        <v>0</v>
      </c>
      <c r="AB166" s="51">
        <f t="shared" si="363"/>
        <v>0</v>
      </c>
      <c r="AC166" s="50"/>
      <c r="AD166" s="51">
        <f>IF(AD157="Dim",AD162,IF(AD172="ferie",AD162,0))</f>
        <v>0</v>
      </c>
      <c r="AE166" s="51">
        <f t="shared" ref="AE166:AJ166" si="379">IF(AE157="Dim",AE162,IF(AE172="ferie",AE162,0))</f>
        <v>0</v>
      </c>
      <c r="AF166" s="51">
        <f t="shared" si="379"/>
        <v>0</v>
      </c>
      <c r="AG166" s="51">
        <f t="shared" si="379"/>
        <v>0</v>
      </c>
      <c r="AH166" s="51">
        <f t="shared" si="379"/>
        <v>0</v>
      </c>
      <c r="AI166" s="51">
        <f t="shared" si="379"/>
        <v>0</v>
      </c>
      <c r="AJ166" s="51">
        <f t="shared" si="379"/>
        <v>0</v>
      </c>
      <c r="AK166" s="51">
        <f t="shared" si="365"/>
        <v>0</v>
      </c>
      <c r="AL166" s="50"/>
      <c r="AM166" s="51">
        <f>IF(AM157="Dim",AM162,IF(AM172="ferie",AM162,0))</f>
        <v>0</v>
      </c>
      <c r="AN166" s="51">
        <f t="shared" ref="AN166:AW166" si="380">IF(AN157="Dim",AN162,IF(AN172="ferie",AN162,0))</f>
        <v>0</v>
      </c>
      <c r="AO166" s="51">
        <f t="shared" si="380"/>
        <v>0</v>
      </c>
      <c r="AP166" s="51">
        <f t="shared" si="380"/>
        <v>0</v>
      </c>
      <c r="AQ166" s="51">
        <f t="shared" si="380"/>
        <v>0</v>
      </c>
      <c r="AR166" s="51">
        <f t="shared" si="380"/>
        <v>0</v>
      </c>
      <c r="AS166" s="51">
        <f t="shared" si="380"/>
        <v>0</v>
      </c>
      <c r="AT166" s="51">
        <f t="shared" si="367"/>
        <v>0</v>
      </c>
      <c r="AU166" s="50"/>
      <c r="AV166" s="51">
        <f>IF(AV157="Dim",AV162,IF(AV172="ferie",AV162,0))</f>
        <v>0</v>
      </c>
      <c r="AW166" s="51">
        <f t="shared" si="380"/>
        <v>0</v>
      </c>
      <c r="AX166" s="51">
        <f t="shared" ref="AX166:AX171" si="381">SUM(AV166:AW166)</f>
        <v>0</v>
      </c>
      <c r="AY166" s="51">
        <f t="shared" si="369"/>
        <v>0</v>
      </c>
      <c r="AZ166" s="25"/>
      <c r="BA166" s="25"/>
      <c r="BB166" s="25"/>
      <c r="BC166" s="25"/>
      <c r="BD166" s="25"/>
      <c r="BE166" s="25"/>
      <c r="BF166" s="25"/>
      <c r="BG166" s="28"/>
    </row>
    <row r="167" spans="1:59" s="27" customFormat="1" ht="15" customHeight="1">
      <c r="A167" s="47" t="s">
        <v>8</v>
      </c>
      <c r="B167" s="47"/>
      <c r="C167" s="48"/>
      <c r="D167" s="48"/>
      <c r="E167" s="48"/>
      <c r="F167" s="48"/>
      <c r="G167" s="48"/>
      <c r="H167" s="48"/>
      <c r="I167" s="48"/>
      <c r="J167" s="51">
        <f t="shared" ref="J167:J171" si="382">SUM(C167:I167)</f>
        <v>0</v>
      </c>
      <c r="K167" s="47"/>
      <c r="L167" s="48"/>
      <c r="M167" s="48"/>
      <c r="N167" s="48"/>
      <c r="O167" s="48"/>
      <c r="P167" s="48"/>
      <c r="Q167" s="48"/>
      <c r="R167" s="48"/>
      <c r="S167" s="51">
        <f t="shared" ref="S167:S171" si="383">SUM(L167:R167)</f>
        <v>0</v>
      </c>
      <c r="T167" s="47"/>
      <c r="U167" s="48"/>
      <c r="V167" s="48"/>
      <c r="W167" s="48"/>
      <c r="X167" s="48"/>
      <c r="Y167" s="48"/>
      <c r="Z167" s="48"/>
      <c r="AA167" s="48"/>
      <c r="AB167" s="51">
        <f t="shared" ref="AB167:AB171" si="384">SUM(U167:AA167)</f>
        <v>0</v>
      </c>
      <c r="AC167" s="47"/>
      <c r="AD167" s="48"/>
      <c r="AE167" s="48"/>
      <c r="AF167" s="48"/>
      <c r="AG167" s="48"/>
      <c r="AH167" s="48"/>
      <c r="AI167" s="48"/>
      <c r="AJ167" s="48"/>
      <c r="AK167" s="51">
        <f t="shared" ref="AK167:AK171" si="385">SUM(AD167:AJ167)</f>
        <v>0</v>
      </c>
      <c r="AL167" s="47"/>
      <c r="AM167" s="48"/>
      <c r="AN167" s="48"/>
      <c r="AO167" s="48"/>
      <c r="AP167" s="48"/>
      <c r="AQ167" s="48"/>
      <c r="AR167" s="48"/>
      <c r="AS167" s="48"/>
      <c r="AT167" s="51">
        <f t="shared" ref="AT167:AT171" si="386">SUM(AM167:AS167)</f>
        <v>0</v>
      </c>
      <c r="AU167" s="47"/>
      <c r="AV167" s="48"/>
      <c r="AW167" s="48"/>
      <c r="AX167" s="51">
        <f>SUM(AV167:AW167)</f>
        <v>0</v>
      </c>
      <c r="AY167" s="48">
        <f t="shared" si="369"/>
        <v>0</v>
      </c>
      <c r="AZ167" s="39"/>
      <c r="BA167" s="39"/>
      <c r="BB167" s="39"/>
      <c r="BC167" s="39"/>
      <c r="BD167" s="39"/>
      <c r="BE167" s="39"/>
      <c r="BF167" s="29"/>
    </row>
    <row r="168" spans="1:59" s="27" customFormat="1" ht="15" customHeight="1">
      <c r="A168" s="50" t="s">
        <v>9</v>
      </c>
      <c r="B168" s="50"/>
      <c r="C168" s="51"/>
      <c r="D168" s="51"/>
      <c r="E168" s="51"/>
      <c r="F168" s="51"/>
      <c r="G168" s="51"/>
      <c r="H168" s="51"/>
      <c r="I168" s="51"/>
      <c r="J168" s="51">
        <f t="shared" si="382"/>
        <v>0</v>
      </c>
      <c r="K168" s="50"/>
      <c r="L168" s="51"/>
      <c r="M168" s="51"/>
      <c r="N168" s="51"/>
      <c r="O168" s="51"/>
      <c r="P168" s="51"/>
      <c r="Q168" s="51"/>
      <c r="R168" s="51"/>
      <c r="S168" s="51">
        <f t="shared" si="383"/>
        <v>0</v>
      </c>
      <c r="T168" s="50"/>
      <c r="U168" s="51"/>
      <c r="V168" s="51"/>
      <c r="W168" s="51"/>
      <c r="X168" s="51"/>
      <c r="Y168" s="51"/>
      <c r="Z168" s="51"/>
      <c r="AA168" s="51"/>
      <c r="AB168" s="51">
        <f t="shared" si="384"/>
        <v>0</v>
      </c>
      <c r="AC168" s="50"/>
      <c r="AD168" s="51"/>
      <c r="AE168" s="51"/>
      <c r="AF168" s="51"/>
      <c r="AG168" s="51"/>
      <c r="AH168" s="51"/>
      <c r="AI168" s="51"/>
      <c r="AJ168" s="51"/>
      <c r="AK168" s="51">
        <f t="shared" si="385"/>
        <v>0</v>
      </c>
      <c r="AL168" s="50"/>
      <c r="AM168" s="51"/>
      <c r="AN168" s="51"/>
      <c r="AO168" s="51"/>
      <c r="AP168" s="51"/>
      <c r="AQ168" s="51"/>
      <c r="AR168" s="51"/>
      <c r="AS168" s="51"/>
      <c r="AT168" s="51">
        <f t="shared" si="386"/>
        <v>0</v>
      </c>
      <c r="AU168" s="50"/>
      <c r="AV168" s="51"/>
      <c r="AW168" s="51"/>
      <c r="AX168" s="51">
        <f t="shared" si="381"/>
        <v>0</v>
      </c>
      <c r="AY168" s="51">
        <f t="shared" si="369"/>
        <v>0</v>
      </c>
      <c r="AZ168" s="25"/>
      <c r="BA168" s="25"/>
      <c r="BB168" s="25"/>
      <c r="BC168" s="25"/>
      <c r="BD168" s="25"/>
      <c r="BE168" s="25"/>
      <c r="BF168" s="25"/>
      <c r="BG168" s="28"/>
    </row>
    <row r="169" spans="1:59" s="5" customFormat="1" ht="15" customHeight="1">
      <c r="A169" s="47" t="s">
        <v>11</v>
      </c>
      <c r="B169" s="47"/>
      <c r="C169" s="48"/>
      <c r="D169" s="48"/>
      <c r="E169" s="48"/>
      <c r="F169" s="48"/>
      <c r="G169" s="48"/>
      <c r="H169" s="48"/>
      <c r="I169" s="48"/>
      <c r="J169" s="51">
        <f t="shared" si="382"/>
        <v>0</v>
      </c>
      <c r="K169" s="47"/>
      <c r="L169" s="48"/>
      <c r="M169" s="48"/>
      <c r="N169" s="48"/>
      <c r="O169" s="48"/>
      <c r="P169" s="48"/>
      <c r="Q169" s="48"/>
      <c r="R169" s="48"/>
      <c r="S169" s="51">
        <f t="shared" si="383"/>
        <v>0</v>
      </c>
      <c r="T169" s="47"/>
      <c r="U169" s="48"/>
      <c r="V169" s="48"/>
      <c r="W169" s="48"/>
      <c r="X169" s="48"/>
      <c r="Y169" s="48"/>
      <c r="Z169" s="48"/>
      <c r="AA169" s="48"/>
      <c r="AB169" s="51">
        <f t="shared" si="384"/>
        <v>0</v>
      </c>
      <c r="AC169" s="47"/>
      <c r="AD169" s="48"/>
      <c r="AE169" s="48"/>
      <c r="AF169" s="48"/>
      <c r="AG169" s="48"/>
      <c r="AH169" s="48"/>
      <c r="AI169" s="48"/>
      <c r="AJ169" s="48"/>
      <c r="AK169" s="51">
        <f t="shared" si="385"/>
        <v>0</v>
      </c>
      <c r="AL169" s="47"/>
      <c r="AM169" s="48"/>
      <c r="AN169" s="48"/>
      <c r="AO169" s="48"/>
      <c r="AP169" s="48"/>
      <c r="AQ169" s="48"/>
      <c r="AR169" s="48"/>
      <c r="AS169" s="48"/>
      <c r="AT169" s="51">
        <f t="shared" si="386"/>
        <v>0</v>
      </c>
      <c r="AU169" s="47"/>
      <c r="AV169" s="48"/>
      <c r="AW169" s="48"/>
      <c r="AX169" s="51">
        <f t="shared" si="381"/>
        <v>0</v>
      </c>
      <c r="AY169" s="49">
        <f t="shared" si="369"/>
        <v>0</v>
      </c>
      <c r="AZ169" s="39"/>
      <c r="BA169" s="39"/>
      <c r="BB169" s="39"/>
      <c r="BC169" s="39"/>
      <c r="BD169" s="39"/>
      <c r="BE169" s="39"/>
      <c r="BF169" s="29"/>
    </row>
    <row r="170" spans="1:59" s="27" customFormat="1" ht="15" customHeight="1">
      <c r="A170" s="50" t="s">
        <v>10</v>
      </c>
      <c r="B170" s="50"/>
      <c r="C170" s="51"/>
      <c r="D170" s="51"/>
      <c r="E170" s="51"/>
      <c r="F170" s="51"/>
      <c r="G170" s="51"/>
      <c r="H170" s="51"/>
      <c r="I170" s="51"/>
      <c r="J170" s="51">
        <f t="shared" si="382"/>
        <v>0</v>
      </c>
      <c r="K170" s="50"/>
      <c r="L170" s="51"/>
      <c r="M170" s="51"/>
      <c r="N170" s="51"/>
      <c r="O170" s="51"/>
      <c r="P170" s="51"/>
      <c r="Q170" s="51"/>
      <c r="R170" s="51"/>
      <c r="S170" s="51">
        <f t="shared" si="383"/>
        <v>0</v>
      </c>
      <c r="T170" s="50"/>
      <c r="U170" s="51"/>
      <c r="V170" s="51"/>
      <c r="W170" s="51"/>
      <c r="X170" s="51"/>
      <c r="Y170" s="51"/>
      <c r="Z170" s="51"/>
      <c r="AA170" s="51"/>
      <c r="AB170" s="51">
        <f t="shared" si="384"/>
        <v>0</v>
      </c>
      <c r="AC170" s="50"/>
      <c r="AD170" s="51"/>
      <c r="AE170" s="51"/>
      <c r="AF170" s="51"/>
      <c r="AG170" s="51"/>
      <c r="AH170" s="51"/>
      <c r="AI170" s="51"/>
      <c r="AJ170" s="51"/>
      <c r="AK170" s="51">
        <f t="shared" si="385"/>
        <v>0</v>
      </c>
      <c r="AL170" s="50"/>
      <c r="AM170" s="51"/>
      <c r="AN170" s="51"/>
      <c r="AO170" s="51"/>
      <c r="AP170" s="51"/>
      <c r="AQ170" s="51"/>
      <c r="AR170" s="51"/>
      <c r="AS170" s="51"/>
      <c r="AT170" s="51">
        <f t="shared" si="386"/>
        <v>0</v>
      </c>
      <c r="AU170" s="50"/>
      <c r="AV170" s="51"/>
      <c r="AW170" s="51"/>
      <c r="AX170" s="51">
        <f t="shared" si="381"/>
        <v>0</v>
      </c>
      <c r="AY170" s="51">
        <f t="shared" si="369"/>
        <v>0</v>
      </c>
      <c r="AZ170" s="25"/>
      <c r="BA170" s="25"/>
      <c r="BB170" s="25"/>
      <c r="BC170" s="25"/>
      <c r="BD170" s="25"/>
      <c r="BE170" s="25"/>
      <c r="BF170" s="25"/>
      <c r="BG170" s="28"/>
    </row>
    <row r="171" spans="1:59" s="5" customFormat="1" ht="15" customHeight="1">
      <c r="A171" s="47" t="s">
        <v>37</v>
      </c>
      <c r="B171" s="47"/>
      <c r="C171" s="48">
        <f>IF(C159="nuit",C162*0.02,0)</f>
        <v>0</v>
      </c>
      <c r="D171" s="48">
        <f>IF(D159="nuit",D162*0.02,0)</f>
        <v>0</v>
      </c>
      <c r="E171" s="48">
        <f t="shared" ref="E171:I171" si="387">IF(E159="nuit",E162*0.02,0)</f>
        <v>0</v>
      </c>
      <c r="F171" s="48">
        <f t="shared" si="387"/>
        <v>0</v>
      </c>
      <c r="G171" s="48">
        <f>IF(G159="nuit",G162*0.02,0)</f>
        <v>0</v>
      </c>
      <c r="H171" s="48">
        <f t="shared" si="387"/>
        <v>0</v>
      </c>
      <c r="I171" s="48">
        <f t="shared" si="387"/>
        <v>0</v>
      </c>
      <c r="J171" s="51">
        <f t="shared" si="382"/>
        <v>0</v>
      </c>
      <c r="K171" s="47"/>
      <c r="L171" s="48">
        <f>IF(L159="nuit",L162*0.02,0)</f>
        <v>0</v>
      </c>
      <c r="M171" s="48">
        <f>IF(M159="nuit",M162*0.02,0)</f>
        <v>0</v>
      </c>
      <c r="N171" s="48">
        <f t="shared" ref="N171:R171" si="388">IF(N159="nuit",N162*0.02,0)</f>
        <v>0</v>
      </c>
      <c r="O171" s="48">
        <f t="shared" si="388"/>
        <v>0</v>
      </c>
      <c r="P171" s="48">
        <f>IF(P159="nuit",P162*0.02,0)</f>
        <v>0</v>
      </c>
      <c r="Q171" s="48">
        <f t="shared" si="388"/>
        <v>0</v>
      </c>
      <c r="R171" s="48">
        <f t="shared" si="388"/>
        <v>0</v>
      </c>
      <c r="S171" s="51">
        <f t="shared" si="383"/>
        <v>0</v>
      </c>
      <c r="T171" s="47"/>
      <c r="U171" s="48">
        <f>IF(U159="nuit",U162*0.02,0)</f>
        <v>0</v>
      </c>
      <c r="V171" s="48">
        <f>IF(V159="nuit",V162*0.02,0)</f>
        <v>0</v>
      </c>
      <c r="W171" s="48">
        <f t="shared" ref="W171:AA171" si="389">IF(W159="nuit",W162*0.02,0)</f>
        <v>0</v>
      </c>
      <c r="X171" s="48">
        <f t="shared" si="389"/>
        <v>0</v>
      </c>
      <c r="Y171" s="48">
        <f>IF(Y159="nuit",Y162*0.02,0)</f>
        <v>0</v>
      </c>
      <c r="Z171" s="48">
        <f t="shared" si="389"/>
        <v>0</v>
      </c>
      <c r="AA171" s="48">
        <f t="shared" si="389"/>
        <v>0</v>
      </c>
      <c r="AB171" s="51">
        <f t="shared" si="384"/>
        <v>0</v>
      </c>
      <c r="AC171" s="47"/>
      <c r="AD171" s="48">
        <f>IF(AD159="nuit",AD162*0.02,0)</f>
        <v>0</v>
      </c>
      <c r="AE171" s="48">
        <f>IF(AE159="nuit",AE162*0.02,0)</f>
        <v>0</v>
      </c>
      <c r="AF171" s="48">
        <f t="shared" ref="AF171:AJ171" si="390">IF(AF159="nuit",AF162*0.02,0)</f>
        <v>0</v>
      </c>
      <c r="AG171" s="48">
        <f t="shared" si="390"/>
        <v>0</v>
      </c>
      <c r="AH171" s="48">
        <f>IF(AH159="nuit",AH162*0.02,0)</f>
        <v>0</v>
      </c>
      <c r="AI171" s="48">
        <f t="shared" si="390"/>
        <v>0</v>
      </c>
      <c r="AJ171" s="48">
        <f t="shared" si="390"/>
        <v>0</v>
      </c>
      <c r="AK171" s="51">
        <f t="shared" si="385"/>
        <v>0</v>
      </c>
      <c r="AL171" s="47"/>
      <c r="AM171" s="48">
        <f>IF(AM159="nuit",AM162*0.02,0)</f>
        <v>0.16</v>
      </c>
      <c r="AN171" s="48">
        <f>IF(AN159="nuit",AN162*0.02,0)</f>
        <v>0.16</v>
      </c>
      <c r="AO171" s="48">
        <f t="shared" ref="AO171:AS171" si="391">IF(AO159="nuit",AO162*0.02,0)</f>
        <v>0.16</v>
      </c>
      <c r="AP171" s="48">
        <f t="shared" si="391"/>
        <v>0.16</v>
      </c>
      <c r="AQ171" s="48">
        <f>IF(AQ159="nuit",AQ162*0.02,0)</f>
        <v>0.16</v>
      </c>
      <c r="AR171" s="48">
        <f t="shared" si="391"/>
        <v>0</v>
      </c>
      <c r="AS171" s="48">
        <f t="shared" si="391"/>
        <v>0</v>
      </c>
      <c r="AT171" s="51">
        <f t="shared" si="386"/>
        <v>0.8</v>
      </c>
      <c r="AU171" s="47"/>
      <c r="AV171" s="48">
        <f>IF(AV159="nuit",AV162*0.02,0)</f>
        <v>0</v>
      </c>
      <c r="AW171" s="48">
        <f>IF(AW159="nuit",AW162*0.02,0)</f>
        <v>0</v>
      </c>
      <c r="AX171" s="51">
        <f t="shared" si="381"/>
        <v>0</v>
      </c>
      <c r="AY171" s="49">
        <f>J171+S171+AB171+AK171+AT171+AX171</f>
        <v>0.8</v>
      </c>
      <c r="AZ171" s="39"/>
      <c r="BA171" s="39"/>
      <c r="BB171" s="39"/>
      <c r="BC171" s="39"/>
      <c r="BD171" s="39"/>
      <c r="BE171" s="39"/>
      <c r="BF171" s="29"/>
    </row>
    <row r="172" spans="1:59" s="27" customFormat="1" ht="15" customHeight="1">
      <c r="A172" s="50" t="s">
        <v>24</v>
      </c>
      <c r="B172" s="50"/>
      <c r="C172" s="51"/>
      <c r="D172" s="51"/>
      <c r="E172" s="51"/>
      <c r="F172" s="51"/>
      <c r="G172" s="51"/>
      <c r="H172" s="51"/>
      <c r="I172" s="51"/>
      <c r="J172" s="51"/>
      <c r="K172" s="50"/>
      <c r="L172" s="51"/>
      <c r="M172" s="51"/>
      <c r="N172" s="51"/>
      <c r="O172" s="51"/>
      <c r="P172" s="51"/>
      <c r="Q172" s="51"/>
      <c r="R172" s="51"/>
      <c r="S172" s="51"/>
      <c r="T172" s="50"/>
      <c r="U172" s="51"/>
      <c r="V172" s="51"/>
      <c r="W172" s="51"/>
      <c r="X172" s="51"/>
      <c r="Y172" s="51"/>
      <c r="Z172" s="51"/>
      <c r="AA172" s="51"/>
      <c r="AB172" s="51"/>
      <c r="AC172" s="50"/>
      <c r="AD172" s="51"/>
      <c r="AE172" s="51"/>
      <c r="AF172" s="51"/>
      <c r="AG172" s="51"/>
      <c r="AH172" s="51"/>
      <c r="AI172" s="51"/>
      <c r="AJ172" s="51"/>
      <c r="AK172" s="51"/>
      <c r="AL172" s="50"/>
      <c r="AM172" s="51"/>
      <c r="AN172" s="51"/>
      <c r="AO172" s="51"/>
      <c r="AP172" s="51"/>
      <c r="AQ172" s="51"/>
      <c r="AR172" s="51"/>
      <c r="AS172" s="51"/>
      <c r="AT172" s="51"/>
      <c r="AU172" s="50"/>
      <c r="AV172" s="51"/>
      <c r="AW172" s="51"/>
      <c r="AX172" s="51"/>
      <c r="AY172" s="51"/>
      <c r="AZ172" s="25"/>
      <c r="BA172" s="25"/>
      <c r="BB172" s="25"/>
      <c r="BC172" s="25"/>
      <c r="BD172" s="25"/>
      <c r="BE172" s="25"/>
      <c r="BF172" s="25"/>
      <c r="BG172" s="28"/>
    </row>
    <row r="173" spans="1:59" s="99" customFormat="1" ht="15" customHeight="1">
      <c r="A173" s="104" t="s">
        <v>112</v>
      </c>
      <c r="B173" s="105"/>
      <c r="C173" s="106" t="str">
        <f>IF(C158="","",IFERROR(VLOOKUP(B157,[2]DATA!$A$12:$H$16,2,TRUE),0))</f>
        <v/>
      </c>
      <c r="D173" s="106" t="str">
        <f>IF(D158="","",IFERROR(VLOOKUP(B157,[2]DATA!$A$12:$H$16,3,TRUE),0))</f>
        <v/>
      </c>
      <c r="E173" s="106" t="str">
        <f>IF(E158="","",IFERROR(VLOOKUP(B157,[2]DATA!$A$12:$H$16,4,TRUE),0))</f>
        <v/>
      </c>
      <c r="F173" s="106" t="str">
        <f>IF(F158="","",IFERROR(VLOOKUP(B157,[2]DATA!$A$12:$H$16,5,TRUE),0))</f>
        <v/>
      </c>
      <c r="G173" s="106" t="str">
        <f>IF(G158="","",IFERROR(VLOOKUP(B157,[2]DATA!$A$12:$H$16,6,TRUE),0))</f>
        <v/>
      </c>
      <c r="H173" s="106"/>
      <c r="I173" s="106"/>
      <c r="J173" s="106">
        <f>SUM(C173:G173)</f>
        <v>0</v>
      </c>
      <c r="K173" s="106"/>
      <c r="L173" s="106">
        <f>IF(L158="","",IFERROR(VLOOKUP(K157,[2]DATA!$A$12:$H$16,2,TRUE),0))</f>
        <v>1</v>
      </c>
      <c r="M173" s="106">
        <f>IF(M158="","",IFERROR(VLOOKUP(K157,[2]DATA!$A$12:$H$16,3,TRUE),0))</f>
        <v>0</v>
      </c>
      <c r="N173" s="106">
        <f>IF(N158="","",IFERROR(VLOOKUP(K157,[2]DATA!$A$12:$H$16,4,TRUE),0))</f>
        <v>0</v>
      </c>
      <c r="O173" s="106">
        <f>IF(O158="","",IFERROR(VLOOKUP(K157,[2]DATA!$A$12:$H$16,5,TRUE),0))</f>
        <v>1</v>
      </c>
      <c r="P173" s="106">
        <f>IF(P158="","",IFERROR(VLOOKUP(K157,[2]DATA!$A$12:$H$16,6,TRUE),0))</f>
        <v>1</v>
      </c>
      <c r="Q173" s="106"/>
      <c r="R173" s="106"/>
      <c r="S173" s="106">
        <f>SUM(L173:P173)</f>
        <v>3</v>
      </c>
      <c r="T173" s="106"/>
      <c r="U173" s="106">
        <f>IF(U158="","",IFERROR(VLOOKUP(T157,[2]DATA!$A$12:$H$16,2,TRUE),0))</f>
        <v>1</v>
      </c>
      <c r="V173" s="106">
        <f>IF(V158="","",IFERROR(VLOOKUP(T157,[2]DATA!$A$12:$H$16,3,TRUE),0))</f>
        <v>1</v>
      </c>
      <c r="W173" s="106">
        <f>IF(W158="","",IFERROR(VLOOKUP(T157,[2]DATA!$A$12:$H$16,4,TRUE),0))</f>
        <v>1</v>
      </c>
      <c r="X173" s="106">
        <f>IF(X158="","",IFERROR(VLOOKUP(T157,[2]DATA!$A$12:$H$16,5,TRUE),0))</f>
        <v>1</v>
      </c>
      <c r="Y173" s="106">
        <f>IF(Y158="","",IFERROR(VLOOKUP(T157,[2]DATA!$A$12:$H$16,6,TRUE),0))</f>
        <v>1</v>
      </c>
      <c r="Z173" s="106"/>
      <c r="AA173" s="106"/>
      <c r="AB173" s="106">
        <f>SUM(U173:Y173)</f>
        <v>5</v>
      </c>
      <c r="AC173" s="106"/>
      <c r="AD173" s="106">
        <f>IF(AD158="","",IFERROR(VLOOKUP(AC157,[2]DATA!$A$12:$H$16,2,TRUE),0))</f>
        <v>1</v>
      </c>
      <c r="AE173" s="106">
        <f>IF(AE158="","",IFERROR(VLOOKUP(AC157,[2]DATA!$A$12:$H$16,3,TRUE),0))</f>
        <v>1</v>
      </c>
      <c r="AF173" s="106">
        <f>IF(AF158="","",IFERROR(VLOOKUP(AC157,[2]DATA!$A$12:$H$16,4,TRUE),0))</f>
        <v>1</v>
      </c>
      <c r="AG173" s="106">
        <f>IF(AG158="","",IFERROR(VLOOKUP(AC157,[2]DATA!$A$12:$H$16,5,TRUE),0))</f>
        <v>0</v>
      </c>
      <c r="AH173" s="106">
        <f>IF(AH158="","",IFERROR(VLOOKUP(AC157,[2]DATA!$A$12:$H$16,6,TRUE),0))</f>
        <v>0</v>
      </c>
      <c r="AI173" s="106"/>
      <c r="AJ173" s="106"/>
      <c r="AK173" s="106">
        <f>SUM(AD173:AH173)</f>
        <v>3</v>
      </c>
      <c r="AL173" s="106"/>
      <c r="AM173" s="106">
        <f>IF(AM158="","",IFERROR(VLOOKUP(AL157,[2]DATA!$A$12:$H$16,2,TRUE),0))</f>
        <v>1</v>
      </c>
      <c r="AN173" s="106">
        <f>IF(AN158="","",IFERROR(VLOOKUP(AL157,[2]DATA!$A$12:$H$16,3,TRUE),0))</f>
        <v>1</v>
      </c>
      <c r="AO173" s="106">
        <f>IF(AO158="","",IFERROR(VLOOKUP(AL157,[2]DATA!$A$12:$H$16,4,TRUE),0))</f>
        <v>1</v>
      </c>
      <c r="AP173" s="106">
        <f>IF(AP158="","",IFERROR(VLOOKUP(AL157,[2]DATA!$A$12:$H$16,5,TRUE),0))</f>
        <v>1</v>
      </c>
      <c r="AQ173" s="106">
        <f>IF(AQ158="","",IFERROR(VLOOKUP(AL157,[2]DATA!$A$12:$H$16,6,TRUE),0))</f>
        <v>1</v>
      </c>
      <c r="AR173" s="106"/>
      <c r="AS173" s="106"/>
      <c r="AT173" s="106">
        <f>SUM(AM173:AQ173)</f>
        <v>5</v>
      </c>
      <c r="AU173" s="106"/>
      <c r="AV173" s="106" t="str">
        <f>IF(AV158="","",IFERROR(VLOOKUP(AU157,[2]DATA!$A$12:$H$16,2,TRUE),0))</f>
        <v/>
      </c>
      <c r="AW173" s="106" t="str">
        <f>IF(AW158="","",IFERROR(VLOOKUP(AU157,[2]DATA!$A$12:$H$16,3,TRUE),0))</f>
        <v/>
      </c>
      <c r="AX173" s="106">
        <f>SUM(AV173:AW173)</f>
        <v>0</v>
      </c>
      <c r="AY173" s="107"/>
      <c r="AZ173" s="34"/>
      <c r="BA173" s="34"/>
      <c r="BB173" s="34"/>
      <c r="BC173" s="34"/>
      <c r="BD173" s="34"/>
      <c r="BE173" s="34"/>
      <c r="BF173" s="98"/>
    </row>
    <row r="174" spans="1:59" s="99" customFormat="1" ht="15" customHeight="1">
      <c r="A174" s="108" t="s">
        <v>113</v>
      </c>
      <c r="B174" s="109"/>
      <c r="C174" s="53"/>
      <c r="D174" s="53"/>
      <c r="E174" s="53"/>
      <c r="F174" s="53"/>
      <c r="G174" s="53"/>
      <c r="H174" s="53"/>
      <c r="I174" s="53"/>
      <c r="J174" s="53">
        <f>J161-J173</f>
        <v>0</v>
      </c>
      <c r="K174" s="53"/>
      <c r="L174" s="53"/>
      <c r="M174" s="53"/>
      <c r="N174" s="53"/>
      <c r="O174" s="53"/>
      <c r="P174" s="53"/>
      <c r="Q174" s="53"/>
      <c r="R174" s="53"/>
      <c r="S174" s="53">
        <f>S161-S173</f>
        <v>0</v>
      </c>
      <c r="T174" s="53"/>
      <c r="U174" s="53"/>
      <c r="V174" s="53"/>
      <c r="W174" s="53"/>
      <c r="X174" s="53"/>
      <c r="Y174" s="53"/>
      <c r="Z174" s="53"/>
      <c r="AA174" s="53"/>
      <c r="AB174" s="53">
        <f>AB161-AB173</f>
        <v>0</v>
      </c>
      <c r="AC174" s="53"/>
      <c r="AD174" s="53"/>
      <c r="AE174" s="53"/>
      <c r="AF174" s="53"/>
      <c r="AG174" s="53"/>
      <c r="AH174" s="53"/>
      <c r="AI174" s="53"/>
      <c r="AJ174" s="53"/>
      <c r="AK174" s="53">
        <f>AK161-AK173</f>
        <v>0</v>
      </c>
      <c r="AL174" s="53"/>
      <c r="AM174" s="53"/>
      <c r="AN174" s="53"/>
      <c r="AO174" s="53"/>
      <c r="AP174" s="53"/>
      <c r="AQ174" s="53"/>
      <c r="AR174" s="53"/>
      <c r="AS174" s="53"/>
      <c r="AT174" s="53">
        <f>AT161-AT173</f>
        <v>0</v>
      </c>
      <c r="AU174" s="53"/>
      <c r="AV174" s="53"/>
      <c r="AW174" s="53"/>
      <c r="AX174" s="53">
        <f>AX161-AX173</f>
        <v>0</v>
      </c>
      <c r="AY174" s="110">
        <f>AT174+AK174+AB174+S174+J174</f>
        <v>0</v>
      </c>
      <c r="AZ174" s="34"/>
      <c r="BA174" s="34"/>
      <c r="BB174" s="34"/>
      <c r="BC174" s="34"/>
      <c r="BD174" s="34"/>
      <c r="BE174" s="34"/>
      <c r="BF174" s="98"/>
    </row>
    <row r="175" spans="1:59" ht="27">
      <c r="A175" s="16"/>
      <c r="B175" s="16"/>
      <c r="C175" s="101" t="s">
        <v>21</v>
      </c>
      <c r="D175" s="101"/>
      <c r="E175" s="101"/>
      <c r="F175" s="101"/>
      <c r="G175" s="101"/>
      <c r="H175" s="112">
        <f>Année_Calendaire</f>
        <v>2018</v>
      </c>
      <c r="I175" s="112"/>
      <c r="J175" s="94"/>
      <c r="K175" s="43"/>
      <c r="L175" s="102"/>
      <c r="M175" s="102"/>
      <c r="N175" s="102"/>
      <c r="O175" s="102"/>
      <c r="P175" s="102"/>
      <c r="Q175" s="102"/>
      <c r="R175" s="102"/>
      <c r="S175" s="36"/>
      <c r="T175" s="43"/>
      <c r="U175" s="101" t="s">
        <v>21</v>
      </c>
      <c r="V175" s="101"/>
      <c r="W175" s="101"/>
      <c r="X175" s="101"/>
      <c r="Y175" s="101"/>
      <c r="Z175" s="112">
        <f>Année_Calendaire</f>
        <v>2018</v>
      </c>
      <c r="AA175" s="112"/>
      <c r="AB175" s="36"/>
      <c r="AC175" s="43"/>
      <c r="AD175" s="102"/>
      <c r="AE175" s="102"/>
      <c r="AF175" s="102"/>
      <c r="AG175" s="102"/>
      <c r="AH175" s="102"/>
      <c r="AI175" s="102"/>
      <c r="AJ175" s="102"/>
      <c r="AK175" s="36"/>
      <c r="AL175" s="43"/>
      <c r="AM175" s="101" t="s">
        <v>21</v>
      </c>
      <c r="AN175" s="101"/>
      <c r="AO175" s="101"/>
      <c r="AP175" s="101"/>
      <c r="AQ175" s="101"/>
      <c r="AR175" s="112">
        <f>Année_Calendaire</f>
        <v>2018</v>
      </c>
      <c r="AS175" s="112"/>
      <c r="AT175" s="36"/>
      <c r="AU175" s="43"/>
      <c r="AV175" s="25"/>
      <c r="AW175" s="25"/>
      <c r="AX175" s="36"/>
    </row>
    <row r="176" spans="1:59" s="22" customFormat="1" ht="29.25" customHeight="1">
      <c r="A176" s="35"/>
      <c r="B176" s="54" t="str">
        <f>IF(C176="",AU157,LEFT(AU157)&amp;MOD(RIGHT(AU157),4)+1)</f>
        <v>c3</v>
      </c>
      <c r="C176" s="100" t="str">
        <f>IF(C177&lt;&gt;"","Lun","")</f>
        <v>Lun</v>
      </c>
      <c r="D176" s="100" t="str">
        <f>IF(D177&lt;&gt;"","Mar","")</f>
        <v>Mar</v>
      </c>
      <c r="E176" s="100" t="str">
        <f>IF(E177&lt;&gt;"","Mer","")</f>
        <v>Mer</v>
      </c>
      <c r="F176" s="100" t="str">
        <f>IF(F177&lt;&gt;"","Jeu","")</f>
        <v>Jeu</v>
      </c>
      <c r="G176" s="100" t="str">
        <f>IF(G177&lt;&gt;"","Ven","")</f>
        <v>Ven</v>
      </c>
      <c r="H176" s="100" t="str">
        <f>IF(H177&lt;&gt;"","Sam","")</f>
        <v>Sam</v>
      </c>
      <c r="I176" s="100" t="str">
        <f>IF(I177&lt;&gt;"","Dim","")</f>
        <v>Dim</v>
      </c>
      <c r="J176" s="113" t="s">
        <v>25</v>
      </c>
      <c r="K176" s="54" t="str">
        <f>IF(L176="",LEFT(B176)&amp;MOD(RIGHT(B176),5),LEFT(B176)&amp;MOD(RIGHT(B176),4)+1)</f>
        <v>c4</v>
      </c>
      <c r="L176" s="100" t="str">
        <f>IF(L177&lt;&gt;"","Lun","")</f>
        <v>Lun</v>
      </c>
      <c r="M176" s="100" t="str">
        <f>IF(M177&lt;&gt;"","Mar","")</f>
        <v>Mar</v>
      </c>
      <c r="N176" s="100" t="str">
        <f>IF(N177&lt;&gt;"","Mer","")</f>
        <v>Mer</v>
      </c>
      <c r="O176" s="100" t="str">
        <f>IF(O177&lt;&gt;"","Jeu","")</f>
        <v>Jeu</v>
      </c>
      <c r="P176" s="100" t="str">
        <f>IF(P177&lt;&gt;"","Ven","")</f>
        <v>Ven</v>
      </c>
      <c r="Q176" s="100" t="str">
        <f>IF(Q177&lt;&gt;"","Sam","")</f>
        <v>Sam</v>
      </c>
      <c r="R176" s="100" t="str">
        <f>IF(R177&lt;&gt;"","Dim","")</f>
        <v>Dim</v>
      </c>
      <c r="S176" s="113" t="s">
        <v>25</v>
      </c>
      <c r="T176" s="54" t="str">
        <f>IF(U176="",LEFT(K176)&amp;MOD(RIGHT(K176),5),LEFT(K176)&amp;MOD(RIGHT(K176),4)+1)</f>
        <v>c1</v>
      </c>
      <c r="U176" s="100" t="str">
        <f>IF(U177&lt;&gt;"","Lun","")</f>
        <v>Lun</v>
      </c>
      <c r="V176" s="100" t="str">
        <f>IF(V177&lt;&gt;"","Mar","")</f>
        <v>Mar</v>
      </c>
      <c r="W176" s="100" t="str">
        <f>IF(W177&lt;&gt;"","Mer","")</f>
        <v>Mer</v>
      </c>
      <c r="X176" s="100" t="str">
        <f>IF(X177&lt;&gt;"","Jeu","")</f>
        <v>Jeu</v>
      </c>
      <c r="Y176" s="100" t="str">
        <f>IF(Y177&lt;&gt;"","Ven","")</f>
        <v>Ven</v>
      </c>
      <c r="Z176" s="100" t="str">
        <f>IF(Z177&lt;&gt;"","Sam","")</f>
        <v>Sam</v>
      </c>
      <c r="AA176" s="100" t="str">
        <f>IF(AA177&lt;&gt;"","Dim","")</f>
        <v>Dim</v>
      </c>
      <c r="AB176" s="113" t="s">
        <v>25</v>
      </c>
      <c r="AC176" s="54" t="str">
        <f>IF(AD176="",LEFT(T176)&amp;MOD(RIGHT(T176),5),LEFT(T176)&amp;MOD(RIGHT(T176),4)+1)</f>
        <v>c2</v>
      </c>
      <c r="AD176" s="100" t="str">
        <f>IF(AD177&lt;&gt;"","Lun","")</f>
        <v>Lun</v>
      </c>
      <c r="AE176" s="100" t="str">
        <f>IF(AE177&lt;&gt;"","Mar","")</f>
        <v>Mar</v>
      </c>
      <c r="AF176" s="100" t="str">
        <f>IF(AF177&lt;&gt;"","Mer","")</f>
        <v>Mer</v>
      </c>
      <c r="AG176" s="100" t="str">
        <f>IF(AG177&lt;&gt;"","Jeu","")</f>
        <v>Jeu</v>
      </c>
      <c r="AH176" s="100" t="str">
        <f>IF(AH177&lt;&gt;"","Ven","")</f>
        <v>Ven</v>
      </c>
      <c r="AI176" s="100" t="str">
        <f>IF(AI177&lt;&gt;"","Sam","")</f>
        <v>Sam</v>
      </c>
      <c r="AJ176" s="100" t="str">
        <f>IF(AJ177&lt;&gt;"","Dim","")</f>
        <v>Dim</v>
      </c>
      <c r="AK176" s="113" t="s">
        <v>25</v>
      </c>
      <c r="AL176" s="54" t="str">
        <f>IF(AM176="",LEFT(AC176)&amp;MOD(RIGHT(AC176),5),LEFT(AC176)&amp;MOD(RIGHT(AC176),4)+1)</f>
        <v>c3</v>
      </c>
      <c r="AM176" s="100" t="str">
        <f>IF(AM177&lt;&gt;"","Lun","")</f>
        <v>Lun</v>
      </c>
      <c r="AN176" s="100" t="str">
        <f>IF(AN177&lt;&gt;"","Mar","")</f>
        <v>Mar</v>
      </c>
      <c r="AO176" s="100" t="str">
        <f>IF(AO177&lt;&gt;"","Mer","")</f>
        <v>Mer</v>
      </c>
      <c r="AP176" s="100" t="str">
        <f>IF(AP177&lt;&gt;"","Jeu","")</f>
        <v/>
      </c>
      <c r="AQ176" s="100" t="str">
        <f>IF(AQ177&lt;&gt;"","Ven","")</f>
        <v/>
      </c>
      <c r="AR176" s="100" t="str">
        <f>IF(AR177&lt;&gt;"","Sam","")</f>
        <v/>
      </c>
      <c r="AS176" s="100" t="str">
        <f>IF(AS177&lt;&gt;"","Dim","")</f>
        <v/>
      </c>
      <c r="AT176" s="113" t="s">
        <v>25</v>
      </c>
      <c r="AU176" s="54" t="str">
        <f>IF(AV176="",LEFT(AL176)&amp;MOD(RIGHT(AL176),5),LEFT(AL176)&amp;MOD(RIGHT(AL176),4)+1)</f>
        <v>c3</v>
      </c>
      <c r="AV176" s="52" t="str">
        <f>IF(AV177&lt;&gt;"","Lun","")</f>
        <v/>
      </c>
      <c r="AW176" s="52" t="str">
        <f>IF(AW177&lt;&gt;"","Mar","")</f>
        <v/>
      </c>
      <c r="AX176" s="113" t="s">
        <v>25</v>
      </c>
      <c r="AY176" s="113" t="s">
        <v>28</v>
      </c>
      <c r="AZ176" s="114">
        <f>AY183+AY184+AY185</f>
        <v>0</v>
      </c>
      <c r="BA176" s="114">
        <f>AZ176+BA157</f>
        <v>0</v>
      </c>
      <c r="BB176" s="38"/>
      <c r="BC176" s="38"/>
      <c r="BD176" s="38"/>
      <c r="BE176" s="38"/>
      <c r="BF176" s="33"/>
    </row>
    <row r="177" spans="1:59" s="24" customFormat="1" ht="15" customHeight="1">
      <c r="A177" s="10"/>
      <c r="B177" s="53"/>
      <c r="C177" s="85">
        <f>IF(DAY(Oct_Dim1)=1,"",IF(AND(YEAR(Oct_Dim1+1)=Année_Calendaire,MONTH(Oct_Dim1+1)=10),Oct_Dim1+1,""))</f>
        <v>43374</v>
      </c>
      <c r="D177" s="85">
        <f>IF(DAY(Oct_Dim1)=1,"",IF(AND(YEAR(Oct_Dim1+2)=Année_Calendaire,MONTH(Oct_Dim1+2)=10),Oct_Dim1+2,""))</f>
        <v>43375</v>
      </c>
      <c r="E177" s="85">
        <f>IF(DAY(Oct_Dim1)=1,"",IF(AND(YEAR(Oct_Dim1+3)=Année_Calendaire,MONTH(Oct_Dim1+3)=10),Oct_Dim1+3,""))</f>
        <v>43376</v>
      </c>
      <c r="F177" s="85">
        <f>IF(DAY(Oct_Dim1)=1,"",IF(AND(YEAR(Oct_Dim1+4)=Année_Calendaire,MONTH(Oct_Dim1+4)=10),Oct_Dim1+4,""))</f>
        <v>43377</v>
      </c>
      <c r="G177" s="85">
        <f>IF(DAY(Oct_Dim1)=1,"",IF(AND(YEAR(Oct_Dim1+5)=Année_Calendaire,MONTH(Oct_Dim1+5)=10),Oct_Dim1+5,""))</f>
        <v>43378</v>
      </c>
      <c r="H177" s="85">
        <f>IF(DAY(Oct_Dim1)=1,"",IF(AND(YEAR(Oct_Dim1+6)=Année_Calendaire,MONTH(Oct_Dim1+6)=10),Oct_Dim1+6,""))</f>
        <v>43379</v>
      </c>
      <c r="I177" s="85">
        <f>IF(DAY(Oct_Dim1)=1,IF(AND(YEAR(Oct_Dim1)=Année_Calendaire,MONTH(Oct_Dim1)=10),Oct_Dim1,""),IF(AND(YEAR(Oct_Dim1+7)=Année_Calendaire,MONTH(Oct_Dim1+7)=10),Oct_Dim1+7,""))</f>
        <v>43380</v>
      </c>
      <c r="J177" s="113"/>
      <c r="K177" s="53"/>
      <c r="L177" s="85">
        <f>IF(DAY(Oct_Dim1)=1,IF(AND(YEAR(Oct_Dim1+1)=Année_Calendaire,MONTH(Oct_Dim1+1)=10),Oct_Dim1+1,""),IF(AND(YEAR(Oct_Dim1+8)=Année_Calendaire,MONTH(Oct_Dim1+8)=10),Oct_Dim1+8,""))</f>
        <v>43381</v>
      </c>
      <c r="M177" s="85">
        <f>IF(DAY(Oct_Dim1)=1,IF(AND(YEAR(Oct_Dim1+2)=Année_Calendaire,MONTH(Oct_Dim1+2)=10),Oct_Dim1+2,""),IF(AND(YEAR(Oct_Dim1+9)=Année_Calendaire,MONTH(Oct_Dim1+9)=10),Oct_Dim1+9,""))</f>
        <v>43382</v>
      </c>
      <c r="N177" s="85">
        <f>IF(DAY(Oct_Dim1)=1,IF(AND(YEAR(Oct_Dim1+3)=Année_Calendaire,MONTH(Oct_Dim1+3)=10),Oct_Dim1+3,""),IF(AND(YEAR(Oct_Dim1+10)=Année_Calendaire,MONTH(Oct_Dim1+10)=10),Oct_Dim1+10,""))</f>
        <v>43383</v>
      </c>
      <c r="O177" s="85">
        <f>IF(DAY(Oct_Dim1)=1,IF(AND(YEAR(Oct_Dim1+4)=Année_Calendaire,MONTH(Oct_Dim1+4)=10),Oct_Dim1+4,""),IF(AND(YEAR(Oct_Dim1+11)=Année_Calendaire,MONTH(Oct_Dim1+11)=10),Oct_Dim1+11,""))</f>
        <v>43384</v>
      </c>
      <c r="P177" s="85">
        <f>IF(DAY(Oct_Dim1)=1,IF(AND(YEAR(Oct_Dim1+5)=Année_Calendaire,MONTH(Oct_Dim1+5)=10),Oct_Dim1+5,""),IF(AND(YEAR(Oct_Dim1+12)=Année_Calendaire,MONTH(Oct_Dim1+12)=10),Oct_Dim1+12,""))</f>
        <v>43385</v>
      </c>
      <c r="Q177" s="85">
        <f>IF(DAY(Oct_Dim1)=1,IF(AND(YEAR(Oct_Dim1+6)=Année_Calendaire,MONTH(Oct_Dim1+6)=10),Oct_Dim1+6,""),IF(AND(YEAR(Oct_Dim1+13)=Année_Calendaire,MONTH(Oct_Dim1+13)=10),Oct_Dim1+13,""))</f>
        <v>43386</v>
      </c>
      <c r="R177" s="85">
        <f>IF(DAY(Oct_Dim1)=1,IF(AND(YEAR(Oct_Dim1+7)=Année_Calendaire,MONTH(Oct_Dim1+7)=10),Oct_Dim1+7,""),IF(AND(YEAR(Oct_Dim1+14)=Année_Calendaire,MONTH(Oct_Dim1+14)=10),Oct_Dim1+14,""))</f>
        <v>43387</v>
      </c>
      <c r="S177" s="113"/>
      <c r="T177" s="53"/>
      <c r="U177" s="85">
        <f>IF(DAY(Oct_Dim1)=1,IF(AND(YEAR(Oct_Dim1+8)=Année_Calendaire,MONTH(Oct_Dim1+8)=10),Oct_Dim1+8,""),IF(AND(YEAR(Oct_Dim1+15)=Année_Calendaire,MONTH(Oct_Dim1+15)=10),Oct_Dim1+15,""))</f>
        <v>43388</v>
      </c>
      <c r="V177" s="85">
        <f>IF(DAY(Oct_Dim1)=1,IF(AND(YEAR(Oct_Dim1+9)=Année_Calendaire,MONTH(Oct_Dim1+9)=10),Oct_Dim1+9,""),IF(AND(YEAR(Oct_Dim1+16)=Année_Calendaire,MONTH(Oct_Dim1+16)=10),Oct_Dim1+16,""))</f>
        <v>43389</v>
      </c>
      <c r="W177" s="85">
        <f>IF(DAY(Oct_Dim1)=1,IF(AND(YEAR(Oct_Dim1+10)=Année_Calendaire,MONTH(Oct_Dim1+10)=10),Oct_Dim1+10,""),IF(AND(YEAR(Oct_Dim1+17)=Année_Calendaire,MONTH(Oct_Dim1+17)=10),Oct_Dim1+17,""))</f>
        <v>43390</v>
      </c>
      <c r="X177" s="85">
        <f>IF(DAY(Oct_Dim1)=1,IF(AND(YEAR(Oct_Dim1+11)=Année_Calendaire,MONTH(Oct_Dim1+11)=10),Oct_Dim1+11,""),IF(AND(YEAR(Oct_Dim1+18)=Année_Calendaire,MONTH(Oct_Dim1+18)=10),Oct_Dim1+18,""))</f>
        <v>43391</v>
      </c>
      <c r="Y177" s="85">
        <f>IF(DAY(Oct_Dim1)=1,IF(AND(YEAR(Oct_Dim1+12)=Année_Calendaire,MONTH(Oct_Dim1+12)=10),Oct_Dim1+12,""),IF(AND(YEAR(Oct_Dim1+19)=Année_Calendaire,MONTH(Oct_Dim1+19)=10),Oct_Dim1+19,""))</f>
        <v>43392</v>
      </c>
      <c r="Z177" s="85">
        <f>IF(DAY(Oct_Dim1)=1,IF(AND(YEAR(Oct_Dim1+13)=Année_Calendaire,MONTH(Oct_Dim1+13)=10),Oct_Dim1+13,""),IF(AND(YEAR(Oct_Dim1+20)=Année_Calendaire,MONTH(Oct_Dim1+20)=10),Oct_Dim1+20,""))</f>
        <v>43393</v>
      </c>
      <c r="AA177" s="85">
        <f>IF(DAY(Oct_Dim1)=1,IF(AND(YEAR(Oct_Dim1+14)=Année_Calendaire,MONTH(Oct_Dim1+14)=10),Oct_Dim1+14,""),IF(AND(YEAR(Oct_Dim1+21)=Année_Calendaire,MONTH(Oct_Dim1+21)=10),Oct_Dim1+21,""))</f>
        <v>43394</v>
      </c>
      <c r="AB177" s="113"/>
      <c r="AC177" s="53"/>
      <c r="AD177" s="85">
        <f>IF(DAY(Oct_Dim1)=1,IF(AND(YEAR(Oct_Dim1+15)=Année_Calendaire,MONTH(Oct_Dim1+15)=10),Oct_Dim1+15,""),IF(AND(YEAR(Oct_Dim1+22)=Année_Calendaire,MONTH(Oct_Dim1+22)=10),Oct_Dim1+22,""))</f>
        <v>43395</v>
      </c>
      <c r="AE177" s="85">
        <f>IF(DAY(Oct_Dim1)=1,IF(AND(YEAR(Oct_Dim1+16)=Année_Calendaire,MONTH(Oct_Dim1+16)=10),Oct_Dim1+16,""),IF(AND(YEAR(Oct_Dim1+23)=Année_Calendaire,MONTH(Oct_Dim1+23)=10),Oct_Dim1+23,""))</f>
        <v>43396</v>
      </c>
      <c r="AF177" s="85">
        <f>IF(DAY(Oct_Dim1)=1,IF(AND(YEAR(Oct_Dim1+17)=Année_Calendaire,MONTH(Oct_Dim1+17)=10),Oct_Dim1+17,""),IF(AND(YEAR(Oct_Dim1+24)=Année_Calendaire,MONTH(Oct_Dim1+24)=10),Oct_Dim1+24,""))</f>
        <v>43397</v>
      </c>
      <c r="AG177" s="85">
        <f>IF(DAY(Oct_Dim1)=1,IF(AND(YEAR(Oct_Dim1+18)=Année_Calendaire,MONTH(Oct_Dim1+18)=10),Oct_Dim1+18,""),IF(AND(YEAR(Oct_Dim1+25)=Année_Calendaire,MONTH(Oct_Dim1+25)=10),Oct_Dim1+25,""))</f>
        <v>43398</v>
      </c>
      <c r="AH177" s="85">
        <f>IF(DAY(Oct_Dim1)=1,IF(AND(YEAR(Oct_Dim1+19)=Année_Calendaire,MONTH(Oct_Dim1+19)=10),Oct_Dim1+19,""),IF(AND(YEAR(Oct_Dim1+26)=Année_Calendaire,MONTH(Oct_Dim1+26)=10),Oct_Dim1+26,""))</f>
        <v>43399</v>
      </c>
      <c r="AI177" s="85">
        <f>IF(DAY(Oct_Dim1)=1,IF(AND(YEAR(Oct_Dim1+20)=Année_Calendaire,MONTH(Oct_Dim1+20)=10),Oct_Dim1+20,""),IF(AND(YEAR(Oct_Dim1+27)=Année_Calendaire,MONTH(Oct_Dim1+27)=10),Oct_Dim1+27,""))</f>
        <v>43400</v>
      </c>
      <c r="AJ177" s="85">
        <f>IF(DAY(Oct_Dim1)=1,IF(AND(YEAR(Oct_Dim1+21)=Année_Calendaire,MONTH(Oct_Dim1+21)=10),Oct_Dim1+21,""),IF(AND(YEAR(Oct_Dim1+28)=Année_Calendaire,MONTH(Oct_Dim1+28)=10),Oct_Dim1+28,""))</f>
        <v>43401</v>
      </c>
      <c r="AK177" s="113"/>
      <c r="AL177" s="53"/>
      <c r="AM177" s="85">
        <f>IF(DAY(Oct_Dim1)=1,IF(AND(YEAR(Oct_Dim1+22)=Année_Calendaire,MONTH(Oct_Dim1+22)=10),Oct_Dim1+22,""),IF(AND(YEAR(Oct_Dim1+29)=Année_Calendaire,MONTH(Oct_Dim1+29)=10),Oct_Dim1+29,""))</f>
        <v>43402</v>
      </c>
      <c r="AN177" s="85">
        <f>IF(DAY(Oct_Dim1)=1,IF(AND(YEAR(Oct_Dim1+23)=Année_Calendaire,MONTH(Oct_Dim1+23)=10),Oct_Dim1+23,""),IF(AND(YEAR(Oct_Dim1+30)=Année_Calendaire,MONTH(Oct_Dim1+30)=10),Oct_Dim1+30,""))</f>
        <v>43403</v>
      </c>
      <c r="AO177" s="85">
        <f>IF(DAY(Oct_Dim1)=1,IF(AND(YEAR(Oct_Dim1+24)=Année_Calendaire,MONTH(Oct_Dim1+24)=10),Oct_Dim1+24,""),IF(AND(YEAR(Oct_Dim1+31)=Année_Calendaire,MONTH(Oct_Dim1+31)=10),Oct_Dim1+31,""))</f>
        <v>43404</v>
      </c>
      <c r="AP177" s="85" t="str">
        <f>IF(DAY(Oct_Dim1)=1,IF(AND(YEAR(Oct_Dim1+25)=Année_Calendaire,MONTH(Oct_Dim1+25)=10),Oct_Dim1+25,""),IF(AND(YEAR(Oct_Dim1+32)=Année_Calendaire,MONTH(Oct_Dim1+32)=10),Oct_Dim1+32,""))</f>
        <v/>
      </c>
      <c r="AQ177" s="85" t="str">
        <f>IF(DAY(Oct_Dim1)=1,IF(AND(YEAR(Oct_Dim1+26)=Année_Calendaire,MONTH(Oct_Dim1+26)=10),Oct_Dim1+26,""),IF(AND(YEAR(Oct_Dim1+33)=Année_Calendaire,MONTH(Oct_Dim1+33)=10),Oct_Dim1+33,""))</f>
        <v/>
      </c>
      <c r="AR177" s="85" t="str">
        <f>IF(DAY(Oct_Dim1)=1,IF(AND(YEAR(Oct_Dim1+27)=Année_Calendaire,MONTH(Oct_Dim1+27)=10),Oct_Dim1+27,""),IF(AND(YEAR(Oct_Dim1+34)=Année_Calendaire,MONTH(Oct_Dim1+34)=10),Oct_Dim1+34,""))</f>
        <v/>
      </c>
      <c r="AS177" s="85" t="str">
        <f>IF(DAY(Oct_Dim1)=1,IF(AND(YEAR(Oct_Dim1+28)=Année_Calendaire,MONTH(Oct_Dim1+28)=10),Oct_Dim1+28,""),IF(AND(YEAR(Oct_Dim1+35)=Année_Calendaire,MONTH(Oct_Dim1+35)=10),Oct_Dim1+35,""))</f>
        <v/>
      </c>
      <c r="AT177" s="113"/>
      <c r="AU177" s="53"/>
      <c r="AV177" s="53" t="str">
        <f>IF(DAY(Oct_Dim1)=1,IF(AND(YEAR(Oct_Dim1+29)=Année_Calendaire,MONTH(Oct_Dim1+29)=10),Oct_Dim1+29,""),IF(AND(YEAR(Oct_Dim1+36)=Année_Calendaire,MONTH(Oct_Dim1+36)=10),Oct_Dim1+36,""))</f>
        <v/>
      </c>
      <c r="AW177" s="53" t="str">
        <f>IF(DAY(Oct_Dim1)=1,IF(AND(YEAR(Oct_Dim1+30)=Année_Calendaire,MONTH(Oct_Dim1+30)=10),Oct_Dim1+30,""),IF(AND(YEAR(Oct_Dim1+37)=Année_Calendaire,MONTH(Oct_Dim1+37)=10),Oct_Dim1+37,""))</f>
        <v/>
      </c>
      <c r="AX177" s="113"/>
      <c r="AY177" s="113"/>
      <c r="AZ177" s="114"/>
      <c r="BA177" s="114"/>
      <c r="BB177" s="31"/>
      <c r="BC177" s="31"/>
      <c r="BD177" s="31"/>
      <c r="BE177" s="31"/>
      <c r="BF177" s="23"/>
    </row>
    <row r="178" spans="1:59" s="5" customFormat="1" ht="15" customHeight="1">
      <c r="A178" s="47" t="s">
        <v>2</v>
      </c>
      <c r="B178" s="47"/>
      <c r="C178" s="48" t="str">
        <f>IF(C177="","",IFERROR(VLOOKUP(B176,DATA!$A$5:$H$9,2,TRUE),0))</f>
        <v>matin</v>
      </c>
      <c r="D178" s="48">
        <f>IF(D177="","",IFERROR(VLOOKUP(B176,DATA!$A$5:$H$9,3,TRUE),0))</f>
        <v>0</v>
      </c>
      <c r="E178" s="48">
        <f>IF(E177="","",IFERROR(VLOOKUP(B176,DATA!$A$5:$H$9,4,TRUE),0))</f>
        <v>0</v>
      </c>
      <c r="F178" s="48" t="str">
        <f>IF(F177="","",IFERROR(VLOOKUP(B176,DATA!$A$5:$H$9,5,TRUE),0))</f>
        <v>matin</v>
      </c>
      <c r="G178" s="48" t="str">
        <f>IF(G177="","",IFERROR(VLOOKUP(B176,DATA!$A$5:$H$9,6,TRUE),0))</f>
        <v>matin</v>
      </c>
      <c r="H178" s="48">
        <f>IF(H177="","",IFERROR(VLOOKUP(B176,DATA!$A$5:$H$9,7,TRUE),0))</f>
        <v>0</v>
      </c>
      <c r="I178" s="48">
        <f>IF(I177="","",IFERROR(VLOOKUP(B176,DATA!$A$5:$H$9,8,TRUE),0))</f>
        <v>0</v>
      </c>
      <c r="J178" s="51">
        <f>IF(B176="c1",24,IF((B176="c3"),24,40))</f>
        <v>24</v>
      </c>
      <c r="K178" s="47"/>
      <c r="L178" s="48" t="str">
        <f>IF(L177="","",IFERROR(VLOOKUP(K176,DATA!$A$5:$H$9,2,TRUE),0))</f>
        <v>am</v>
      </c>
      <c r="M178" s="48" t="str">
        <f>IF(M177="","",IFERROR(VLOOKUP(K176,DATA!$A$5:$H$9,3,TRUE),0))</f>
        <v>am</v>
      </c>
      <c r="N178" s="48" t="str">
        <f>IF(N177="","",IFERROR(VLOOKUP(K176,DATA!$A$5:$H$9,4,TRUE),0))</f>
        <v>am</v>
      </c>
      <c r="O178" s="48" t="str">
        <f>IF(O177="","",IFERROR(VLOOKUP(K176,DATA!$A$5:$H$9,5,TRUE),0))</f>
        <v>am</v>
      </c>
      <c r="P178" s="48" t="str">
        <f>IF(P177="","",IFERROR(VLOOKUP(K176,DATA!$A$5:$H$9,6,TRUE),0))</f>
        <v>am</v>
      </c>
      <c r="Q178" s="48">
        <f>IF(Q177="","",IFERROR(VLOOKUP(K176,DATA!$A$5:$H$9,7,TRUE),0))</f>
        <v>0</v>
      </c>
      <c r="R178" s="48">
        <f>IF(R177="","",IFERROR(VLOOKUP(K176,DATA!$A$5:$H$9,8,TRUE),0))</f>
        <v>0</v>
      </c>
      <c r="S178" s="51">
        <f>IF(K176="c1",24,IF((K176="c3"),24,40))</f>
        <v>40</v>
      </c>
      <c r="T178" s="47"/>
      <c r="U178" s="48" t="str">
        <f>IF(U177="","",IFERROR(VLOOKUP(T176,DATA!$A$5:$H$9,2,TRUE),0))</f>
        <v>matin</v>
      </c>
      <c r="V178" s="48" t="str">
        <f>IF(V177="","",IFERROR(VLOOKUP(T176,DATA!$A$5:$H$9,3,TRUE),0))</f>
        <v>matin</v>
      </c>
      <c r="W178" s="48" t="str">
        <f>IF(W177="","",IFERROR(VLOOKUP(T176,DATA!$A$5:$H$9,4,TRUE),0))</f>
        <v>matin</v>
      </c>
      <c r="X178" s="48">
        <f>IF(X177="","",IFERROR(VLOOKUP(T176,DATA!$A$5:$H$9,5,TRUE),0))</f>
        <v>0</v>
      </c>
      <c r="Y178" s="48">
        <f>IF(Y177="","",IFERROR(VLOOKUP(T176,DATA!$A$5:$H$9,6,TRUE),0))</f>
        <v>0</v>
      </c>
      <c r="Z178" s="48">
        <f>IF(Z177="","",IFERROR(VLOOKUP(T176,DATA!$A$5:$H$9,7,TRUE),0))</f>
        <v>0</v>
      </c>
      <c r="AA178" s="48">
        <f>IF(AA177="","",IFERROR(VLOOKUP(T176,DATA!$A$5:$H$9,8,TRUE),0))</f>
        <v>0</v>
      </c>
      <c r="AB178" s="51">
        <f>IF(T176="c1",24,IF((T176="c3"),24,40))</f>
        <v>24</v>
      </c>
      <c r="AC178" s="47"/>
      <c r="AD178" s="48" t="str">
        <f>IF(AD177="","",IFERROR(VLOOKUP(AC176,DATA!$A$5:$H$9,2,TRUE),0))</f>
        <v>nuit</v>
      </c>
      <c r="AE178" s="48" t="str">
        <f>IF(AE177="","",IFERROR(VLOOKUP(AC176,DATA!$A$5:$H$9,3,TRUE),0))</f>
        <v>nuit</v>
      </c>
      <c r="AF178" s="48" t="str">
        <f>IF(AF177="","",IFERROR(VLOOKUP(AC176,DATA!$A$5:$H$9,4,TRUE),0))</f>
        <v>nuit</v>
      </c>
      <c r="AG178" s="48" t="str">
        <f>IF(AG177="","",IFERROR(VLOOKUP(AC176,DATA!$A$5:$H$9,5,TRUE),0))</f>
        <v>nuit</v>
      </c>
      <c r="AH178" s="48" t="str">
        <f>IF(AH177="","",IFERROR(VLOOKUP(AC176,DATA!$A$5:$H$9,6,TRUE),0))</f>
        <v>nuit</v>
      </c>
      <c r="AI178" s="48">
        <f>IF(AI177="","",IFERROR(VLOOKUP(AC176,DATA!$A$5:$H$9,7,TRUE),0))</f>
        <v>0</v>
      </c>
      <c r="AJ178" s="48">
        <f>IF(AJ177="","",IFERROR(VLOOKUP(AC176,DATA!$A$5:$H$9,8,TRUE),0))</f>
        <v>0</v>
      </c>
      <c r="AK178" s="51">
        <f>IF(AC176="c1",24,IF((AC176="c3"),24,40))</f>
        <v>40</v>
      </c>
      <c r="AL178" s="47"/>
      <c r="AM178" s="48" t="str">
        <f>IF(AM177="","",IFERROR(VLOOKUP(AL176,DATA!$A$5:$H$9,2,TRUE),0))</f>
        <v>matin</v>
      </c>
      <c r="AN178" s="48">
        <f>IF(AN177="","",IFERROR(VLOOKUP(AL176,DATA!$A$5:$H$9,3,TRUE),0))</f>
        <v>0</v>
      </c>
      <c r="AO178" s="48">
        <f>IF(AO177="","",IFERROR(VLOOKUP(AL176,DATA!$A$5:$H$9,4,TRUE),0))</f>
        <v>0</v>
      </c>
      <c r="AP178" s="48" t="str">
        <f>IF(AP177="","",IFERROR(VLOOKUP(AL176,DATA!$A$5:$H$9,5,TRUE),0))</f>
        <v/>
      </c>
      <c r="AQ178" s="48" t="str">
        <f>IF(AQ177="","",IFERROR(VLOOKUP(AL176,DATA!$A$5:$H$9,6,TRUE),0))</f>
        <v/>
      </c>
      <c r="AR178" s="48" t="str">
        <f>IF(AR177="","",IFERROR(VLOOKUP(AL176,DATA!$A$5:$H$9,7,TRUE),0))</f>
        <v/>
      </c>
      <c r="AS178" s="48" t="str">
        <f>IF(AS177="","",IFERROR(VLOOKUP(AL176,DATA!$A$5:$H$9,8,TRUE),0))</f>
        <v/>
      </c>
      <c r="AT178" s="51">
        <f>IF(AL176="c1",24,IF((AL176="c3"),24,40))</f>
        <v>24</v>
      </c>
      <c r="AU178" s="47"/>
      <c r="AV178" s="48" t="str">
        <f>IF(AV177="","",IFERROR(VLOOKUP(AU176,DATA!$A$5:$H$9,2,TRUE),0))</f>
        <v/>
      </c>
      <c r="AW178" s="48" t="str">
        <f>IF(AW177="","",IFERROR(VLOOKUP(AU176,DATA!$A$5:$H$9,3,TRUE),0))</f>
        <v/>
      </c>
      <c r="AX178" s="51">
        <f>IF(AP176="c1",24,IF((AP176="c3"),24,40))</f>
        <v>40</v>
      </c>
      <c r="AY178" s="49"/>
      <c r="AZ178" s="39"/>
      <c r="BA178" s="39"/>
      <c r="BB178" s="39"/>
      <c r="BC178" s="39"/>
      <c r="BD178" s="39"/>
      <c r="BE178" s="39"/>
      <c r="BF178" s="29"/>
    </row>
    <row r="179" spans="1:59" s="27" customFormat="1" ht="15" customHeight="1">
      <c r="A179" s="50" t="s">
        <v>12</v>
      </c>
      <c r="B179" s="50"/>
      <c r="C179" s="51">
        <f t="shared" ref="C179:I179" si="392">IF(C178="Matin",1,IF(C178="AM",1,0))</f>
        <v>1</v>
      </c>
      <c r="D179" s="51">
        <f t="shared" si="392"/>
        <v>0</v>
      </c>
      <c r="E179" s="51">
        <f t="shared" si="392"/>
        <v>0</v>
      </c>
      <c r="F179" s="51">
        <f t="shared" si="392"/>
        <v>1</v>
      </c>
      <c r="G179" s="51">
        <f t="shared" si="392"/>
        <v>1</v>
      </c>
      <c r="H179" s="51">
        <f t="shared" si="392"/>
        <v>0</v>
      </c>
      <c r="I179" s="51">
        <f t="shared" si="392"/>
        <v>0</v>
      </c>
      <c r="J179" s="51">
        <f>SUM(C179:I179)</f>
        <v>3</v>
      </c>
      <c r="K179" s="50"/>
      <c r="L179" s="51">
        <f t="shared" ref="L179:R179" si="393">IF(L178="Matin",1,IF(L178="AM",1,0))</f>
        <v>1</v>
      </c>
      <c r="M179" s="51">
        <f t="shared" si="393"/>
        <v>1</v>
      </c>
      <c r="N179" s="51">
        <f t="shared" si="393"/>
        <v>1</v>
      </c>
      <c r="O179" s="51">
        <f t="shared" si="393"/>
        <v>1</v>
      </c>
      <c r="P179" s="51">
        <f t="shared" si="393"/>
        <v>1</v>
      </c>
      <c r="Q179" s="51">
        <f t="shared" si="393"/>
        <v>0</v>
      </c>
      <c r="R179" s="51">
        <f t="shared" si="393"/>
        <v>0</v>
      </c>
      <c r="S179" s="51">
        <f>SUM(L179:R179)</f>
        <v>5</v>
      </c>
      <c r="T179" s="50"/>
      <c r="U179" s="51">
        <f t="shared" ref="U179:AA179" si="394">IF(U178="Matin",1,IF(U178="AM",1,0))</f>
        <v>1</v>
      </c>
      <c r="V179" s="51">
        <f t="shared" si="394"/>
        <v>1</v>
      </c>
      <c r="W179" s="51">
        <f t="shared" si="394"/>
        <v>1</v>
      </c>
      <c r="X179" s="51">
        <f t="shared" si="394"/>
        <v>0</v>
      </c>
      <c r="Y179" s="51">
        <f t="shared" si="394"/>
        <v>0</v>
      </c>
      <c r="Z179" s="51">
        <f t="shared" si="394"/>
        <v>0</v>
      </c>
      <c r="AA179" s="51">
        <f t="shared" si="394"/>
        <v>0</v>
      </c>
      <c r="AB179" s="51">
        <f>SUM(U179:AA179)</f>
        <v>3</v>
      </c>
      <c r="AC179" s="50"/>
      <c r="AD179" s="51">
        <f t="shared" ref="AD179:AJ179" si="395">IF(AD178="Matin",1,IF(AD178="AM",1,0))</f>
        <v>0</v>
      </c>
      <c r="AE179" s="51">
        <f t="shared" si="395"/>
        <v>0</v>
      </c>
      <c r="AF179" s="51">
        <f t="shared" si="395"/>
        <v>0</v>
      </c>
      <c r="AG179" s="51">
        <f t="shared" si="395"/>
        <v>0</v>
      </c>
      <c r="AH179" s="51">
        <f t="shared" si="395"/>
        <v>0</v>
      </c>
      <c r="AI179" s="51">
        <f t="shared" si="395"/>
        <v>0</v>
      </c>
      <c r="AJ179" s="51">
        <f t="shared" si="395"/>
        <v>0</v>
      </c>
      <c r="AK179" s="51">
        <f>SUM(AD179:AJ179)</f>
        <v>0</v>
      </c>
      <c r="AL179" s="50"/>
      <c r="AM179" s="51">
        <f t="shared" ref="AM179:AS179" si="396">IF(AM178="Matin",1,IF(AM178="AM",1,0))</f>
        <v>1</v>
      </c>
      <c r="AN179" s="51">
        <f t="shared" si="396"/>
        <v>0</v>
      </c>
      <c r="AO179" s="51">
        <f t="shared" si="396"/>
        <v>0</v>
      </c>
      <c r="AP179" s="51">
        <f t="shared" si="396"/>
        <v>0</v>
      </c>
      <c r="AQ179" s="51">
        <f t="shared" si="396"/>
        <v>0</v>
      </c>
      <c r="AR179" s="51">
        <f t="shared" si="396"/>
        <v>0</v>
      </c>
      <c r="AS179" s="51">
        <f t="shared" si="396"/>
        <v>0</v>
      </c>
      <c r="AT179" s="51">
        <f>SUM(AM179:AS179)</f>
        <v>1</v>
      </c>
      <c r="AU179" s="50"/>
      <c r="AV179" s="51">
        <f t="shared" ref="AV179:AW179" si="397">IF(AV178="Matin",1,IF(AV178="AM",1,0))</f>
        <v>0</v>
      </c>
      <c r="AW179" s="51">
        <f t="shared" si="397"/>
        <v>0</v>
      </c>
      <c r="AX179" s="51">
        <f>SUM(AV179:AW179)</f>
        <v>0</v>
      </c>
      <c r="AY179" s="51">
        <f>J179+S179+AB179+AK179+AT179+AX179</f>
        <v>12</v>
      </c>
      <c r="AZ179" s="25"/>
      <c r="BA179" s="25"/>
      <c r="BB179" s="25"/>
      <c r="BC179" s="25"/>
      <c r="BD179" s="25"/>
      <c r="BE179" s="25"/>
      <c r="BF179" s="25"/>
      <c r="BG179" s="28"/>
    </row>
    <row r="180" spans="1:59" s="27" customFormat="1" ht="15" customHeight="1">
      <c r="A180" s="47" t="s">
        <v>4</v>
      </c>
      <c r="B180" s="47"/>
      <c r="C180" s="48">
        <f>IF(C181&gt;=1,1,0)</f>
        <v>1</v>
      </c>
      <c r="D180" s="48">
        <f>IF(D181&gt;=1,1,0)</f>
        <v>0</v>
      </c>
      <c r="E180" s="48">
        <f t="shared" ref="E180:I180" si="398">IF(E181&gt;=1,1,0)</f>
        <v>0</v>
      </c>
      <c r="F180" s="48">
        <f t="shared" si="398"/>
        <v>1</v>
      </c>
      <c r="G180" s="48">
        <f t="shared" si="398"/>
        <v>1</v>
      </c>
      <c r="H180" s="48">
        <f t="shared" si="398"/>
        <v>0</v>
      </c>
      <c r="I180" s="48">
        <f t="shared" si="398"/>
        <v>0</v>
      </c>
      <c r="J180" s="51">
        <f t="shared" ref="J180:J185" si="399">SUM(C180:I180)</f>
        <v>3</v>
      </c>
      <c r="K180" s="47"/>
      <c r="L180" s="48">
        <f>IF(L181&gt;=1,1,0)</f>
        <v>1</v>
      </c>
      <c r="M180" s="48">
        <f t="shared" ref="M180:R180" si="400">IF(M181&gt;=1,1,0)</f>
        <v>1</v>
      </c>
      <c r="N180" s="48">
        <f t="shared" si="400"/>
        <v>1</v>
      </c>
      <c r="O180" s="48">
        <f t="shared" si="400"/>
        <v>1</v>
      </c>
      <c r="P180" s="48">
        <f t="shared" si="400"/>
        <v>1</v>
      </c>
      <c r="Q180" s="48">
        <f t="shared" si="400"/>
        <v>0</v>
      </c>
      <c r="R180" s="48">
        <f t="shared" si="400"/>
        <v>0</v>
      </c>
      <c r="S180" s="51">
        <f t="shared" ref="S180:S185" si="401">SUM(L180:R180)</f>
        <v>5</v>
      </c>
      <c r="T180" s="47"/>
      <c r="U180" s="48">
        <f>IF(U181&gt;=1,1,0)</f>
        <v>1</v>
      </c>
      <c r="V180" s="48">
        <f t="shared" ref="V180:AA180" si="402">IF(V181&gt;=1,1,0)</f>
        <v>1</v>
      </c>
      <c r="W180" s="48">
        <f t="shared" si="402"/>
        <v>1</v>
      </c>
      <c r="X180" s="48">
        <f t="shared" si="402"/>
        <v>0</v>
      </c>
      <c r="Y180" s="48">
        <f t="shared" si="402"/>
        <v>0</v>
      </c>
      <c r="Z180" s="48">
        <f t="shared" si="402"/>
        <v>0</v>
      </c>
      <c r="AA180" s="48">
        <f t="shared" si="402"/>
        <v>0</v>
      </c>
      <c r="AB180" s="51">
        <f t="shared" ref="AB180:AB185" si="403">SUM(U180:AA180)</f>
        <v>3</v>
      </c>
      <c r="AC180" s="47"/>
      <c r="AD180" s="48">
        <f>IF(AD181&gt;=1,1,0)</f>
        <v>1</v>
      </c>
      <c r="AE180" s="48">
        <f t="shared" ref="AE180:AJ180" si="404">IF(AE181&gt;=1,1,0)</f>
        <v>1</v>
      </c>
      <c r="AF180" s="48">
        <f t="shared" si="404"/>
        <v>1</v>
      </c>
      <c r="AG180" s="48">
        <f t="shared" si="404"/>
        <v>1</v>
      </c>
      <c r="AH180" s="48">
        <f t="shared" si="404"/>
        <v>1</v>
      </c>
      <c r="AI180" s="48">
        <f t="shared" si="404"/>
        <v>0</v>
      </c>
      <c r="AJ180" s="48">
        <f t="shared" si="404"/>
        <v>0</v>
      </c>
      <c r="AK180" s="51">
        <f t="shared" ref="AK180:AK185" si="405">SUM(AD180:AJ180)</f>
        <v>5</v>
      </c>
      <c r="AL180" s="47"/>
      <c r="AM180" s="48">
        <f>IF(AM181&gt;=1,1,0)</f>
        <v>1</v>
      </c>
      <c r="AN180" s="48">
        <f t="shared" ref="AN180:AS180" si="406">IF(AN181&gt;=1,1,0)</f>
        <v>0</v>
      </c>
      <c r="AO180" s="48">
        <f t="shared" si="406"/>
        <v>0</v>
      </c>
      <c r="AP180" s="48">
        <f t="shared" si="406"/>
        <v>0</v>
      </c>
      <c r="AQ180" s="48">
        <f t="shared" si="406"/>
        <v>0</v>
      </c>
      <c r="AR180" s="48">
        <f t="shared" si="406"/>
        <v>0</v>
      </c>
      <c r="AS180" s="48">
        <f t="shared" si="406"/>
        <v>0</v>
      </c>
      <c r="AT180" s="51">
        <f t="shared" ref="AT180:AT185" si="407">SUM(AM180:AS180)</f>
        <v>1</v>
      </c>
      <c r="AU180" s="47"/>
      <c r="AV180" s="48">
        <f>IF(AV181&gt;=1,1,0)</f>
        <v>0</v>
      </c>
      <c r="AW180" s="48">
        <f t="shared" ref="AW180" si="408">IF(AW181&gt;=1,1,0)</f>
        <v>0</v>
      </c>
      <c r="AX180" s="51">
        <f>SUM(AV180:AW180)</f>
        <v>0</v>
      </c>
      <c r="AY180" s="48">
        <f t="shared" ref="AY180:AY189" si="409">J180+S180+AB180+AK180+AT180+AX180</f>
        <v>17</v>
      </c>
      <c r="AZ180" s="39"/>
      <c r="BA180" s="39"/>
      <c r="BB180" s="39"/>
      <c r="BC180" s="39"/>
      <c r="BD180" s="39"/>
      <c r="BE180" s="39"/>
      <c r="BF180" s="29"/>
    </row>
    <row r="181" spans="1:59" s="27" customFormat="1" ht="15" customHeight="1">
      <c r="A181" s="50" t="s">
        <v>3</v>
      </c>
      <c r="B181" s="50"/>
      <c r="C181" s="51">
        <f>IF(C178="Matin",8,IF(C178="AM",8,IF(C178="nuit",8,0)))</f>
        <v>8</v>
      </c>
      <c r="D181" s="51">
        <f t="shared" ref="D181:I181" si="410">IF(D178="Matin",8,IF(D178="AM",8,IF(D178="nuit",8,0)))</f>
        <v>0</v>
      </c>
      <c r="E181" s="51">
        <f t="shared" si="410"/>
        <v>0</v>
      </c>
      <c r="F181" s="51">
        <f t="shared" si="410"/>
        <v>8</v>
      </c>
      <c r="G181" s="51">
        <f t="shared" si="410"/>
        <v>8</v>
      </c>
      <c r="H181" s="51">
        <f t="shared" si="410"/>
        <v>0</v>
      </c>
      <c r="I181" s="51">
        <f t="shared" si="410"/>
        <v>0</v>
      </c>
      <c r="J181" s="51">
        <f t="shared" si="399"/>
        <v>24</v>
      </c>
      <c r="K181" s="50"/>
      <c r="L181" s="51">
        <f>IF(L178="Matin",8,IF(L178="AM",8,IF(L178="nuit",8,0)))</f>
        <v>8</v>
      </c>
      <c r="M181" s="51">
        <f t="shared" ref="M181:R181" si="411">IF(M178="Matin",8,IF(M178="AM",8,IF(M178="nuit",8,0)))</f>
        <v>8</v>
      </c>
      <c r="N181" s="51">
        <f t="shared" si="411"/>
        <v>8</v>
      </c>
      <c r="O181" s="51">
        <f t="shared" si="411"/>
        <v>8</v>
      </c>
      <c r="P181" s="51">
        <f t="shared" si="411"/>
        <v>8</v>
      </c>
      <c r="Q181" s="51">
        <f t="shared" si="411"/>
        <v>0</v>
      </c>
      <c r="R181" s="51">
        <f t="shared" si="411"/>
        <v>0</v>
      </c>
      <c r="S181" s="51">
        <f t="shared" si="401"/>
        <v>40</v>
      </c>
      <c r="T181" s="50"/>
      <c r="U181" s="51">
        <f>IF(U178="Matin",8,IF(U178="AM",8,IF(U178="nuit",8,0)))</f>
        <v>8</v>
      </c>
      <c r="V181" s="51">
        <f t="shared" ref="V181:AA181" si="412">IF(V178="Matin",8,IF(V178="AM",8,IF(V178="nuit",8,0)))</f>
        <v>8</v>
      </c>
      <c r="W181" s="51">
        <f t="shared" si="412"/>
        <v>8</v>
      </c>
      <c r="X181" s="51">
        <f t="shared" si="412"/>
        <v>0</v>
      </c>
      <c r="Y181" s="51">
        <f t="shared" si="412"/>
        <v>0</v>
      </c>
      <c r="Z181" s="51">
        <f t="shared" si="412"/>
        <v>0</v>
      </c>
      <c r="AA181" s="51">
        <f t="shared" si="412"/>
        <v>0</v>
      </c>
      <c r="AB181" s="51">
        <f t="shared" si="403"/>
        <v>24</v>
      </c>
      <c r="AC181" s="50"/>
      <c r="AD181" s="51">
        <f>IF(AD178="Matin",8,IF(AD178="AM",8,IF(AD178="nuit",8,0)))</f>
        <v>8</v>
      </c>
      <c r="AE181" s="51">
        <f t="shared" ref="AE181:AJ181" si="413">IF(AE178="Matin",8,IF(AE178="AM",8,IF(AE178="nuit",8,0)))</f>
        <v>8</v>
      </c>
      <c r="AF181" s="51">
        <f t="shared" si="413"/>
        <v>8</v>
      </c>
      <c r="AG181" s="51">
        <f t="shared" si="413"/>
        <v>8</v>
      </c>
      <c r="AH181" s="51">
        <f t="shared" si="413"/>
        <v>8</v>
      </c>
      <c r="AI181" s="51">
        <f t="shared" si="413"/>
        <v>0</v>
      </c>
      <c r="AJ181" s="51">
        <f t="shared" si="413"/>
        <v>0</v>
      </c>
      <c r="AK181" s="51">
        <f t="shared" si="405"/>
        <v>40</v>
      </c>
      <c r="AL181" s="50"/>
      <c r="AM181" s="51">
        <f>IF(AM178="Matin",8,IF(AM178="AM",8,IF(AM178="nuit",8,0)))</f>
        <v>8</v>
      </c>
      <c r="AN181" s="51">
        <f t="shared" ref="AN181:AS181" si="414">IF(AN178="Matin",8,IF(AN178="AM",8,IF(AN178="nuit",8,0)))</f>
        <v>0</v>
      </c>
      <c r="AO181" s="51">
        <f t="shared" si="414"/>
        <v>0</v>
      </c>
      <c r="AP181" s="51">
        <f t="shared" si="414"/>
        <v>0</v>
      </c>
      <c r="AQ181" s="51">
        <f t="shared" si="414"/>
        <v>0</v>
      </c>
      <c r="AR181" s="51">
        <f t="shared" si="414"/>
        <v>0</v>
      </c>
      <c r="AS181" s="51">
        <f t="shared" si="414"/>
        <v>0</v>
      </c>
      <c r="AT181" s="51">
        <f t="shared" si="407"/>
        <v>8</v>
      </c>
      <c r="AU181" s="50"/>
      <c r="AV181" s="51">
        <f>IF(AV178="Matin",8,IF(AV178="AM",8,IF(AV178="nuit",8,0)))</f>
        <v>0</v>
      </c>
      <c r="AW181" s="51">
        <f t="shared" ref="AW181" si="415">IF(AW178="Matin",8,IF(AW178="AM",8,IF(AW178="nuit",8,0)))</f>
        <v>0</v>
      </c>
      <c r="AX181" s="51">
        <f>SUM(AV181:AW181)</f>
        <v>0</v>
      </c>
      <c r="AY181" s="51">
        <f t="shared" si="409"/>
        <v>136</v>
      </c>
      <c r="AZ181" s="25"/>
      <c r="BA181" s="25"/>
      <c r="BB181" s="25"/>
      <c r="BC181" s="25"/>
      <c r="BD181" s="25"/>
      <c r="BE181" s="25"/>
      <c r="BF181" s="25"/>
      <c r="BG181" s="28"/>
    </row>
    <row r="182" spans="1:59" s="5" customFormat="1" ht="15" customHeight="1">
      <c r="A182" s="47" t="s">
        <v>13</v>
      </c>
      <c r="B182" s="47"/>
      <c r="C182" s="48"/>
      <c r="D182" s="48"/>
      <c r="E182" s="48"/>
      <c r="F182" s="48"/>
      <c r="G182" s="48"/>
      <c r="H182" s="48"/>
      <c r="I182" s="48"/>
      <c r="J182" s="51">
        <f>MAX(MIN(DATA!$D$22-DATA!$C$22,Travail!J181-Travail!J178-I181),0)</f>
        <v>0</v>
      </c>
      <c r="K182" s="47"/>
      <c r="L182" s="48"/>
      <c r="M182" s="48"/>
      <c r="N182" s="48"/>
      <c r="O182" s="48"/>
      <c r="P182" s="48"/>
      <c r="Q182" s="48"/>
      <c r="R182" s="48"/>
      <c r="S182" s="51">
        <f>MAX(MIN(DATA!$D$22-DATA!$C$22,Travail!S181-Travail!S178-R181),0)</f>
        <v>0</v>
      </c>
      <c r="T182" s="47"/>
      <c r="U182" s="48"/>
      <c r="V182" s="48"/>
      <c r="W182" s="48"/>
      <c r="X182" s="48"/>
      <c r="Y182" s="48"/>
      <c r="Z182" s="48"/>
      <c r="AA182" s="48"/>
      <c r="AB182" s="51">
        <f>MAX(MIN(DATA!$D$22-DATA!$C$22,Travail!AB181-Travail!AB178-AA181),0)</f>
        <v>0</v>
      </c>
      <c r="AC182" s="47"/>
      <c r="AD182" s="48"/>
      <c r="AE182" s="48"/>
      <c r="AF182" s="48"/>
      <c r="AG182" s="48"/>
      <c r="AH182" s="48"/>
      <c r="AI182" s="48"/>
      <c r="AJ182" s="48"/>
      <c r="AK182" s="51">
        <f>MAX(MIN(DATA!$D$22-DATA!$C$22,Travail!AK181-Travail!AK178-AJ181),0)</f>
        <v>0</v>
      </c>
      <c r="AL182" s="47"/>
      <c r="AM182" s="48"/>
      <c r="AN182" s="48"/>
      <c r="AO182" s="48"/>
      <c r="AP182" s="48"/>
      <c r="AQ182" s="48"/>
      <c r="AR182" s="48"/>
      <c r="AS182" s="48"/>
      <c r="AT182" s="51">
        <f>MAX(MIN(DATA!$D$22-DATA!$C$22,Travail!AT181-Travail!AT178-AS181),0)</f>
        <v>0</v>
      </c>
      <c r="AU182" s="47"/>
      <c r="AV182" s="48"/>
      <c r="AW182" s="48"/>
      <c r="AX182" s="51">
        <f>MAX(MIN(DATA!$D$22-DATA!$C$22,Travail!AX181-Travail!AX178),0)</f>
        <v>0</v>
      </c>
      <c r="AY182" s="49">
        <f t="shared" si="409"/>
        <v>0</v>
      </c>
      <c r="AZ182" s="39"/>
      <c r="BA182" s="39"/>
      <c r="BB182" s="39"/>
      <c r="BC182" s="39"/>
      <c r="BD182" s="39"/>
      <c r="BE182" s="39"/>
      <c r="BF182" s="29"/>
    </row>
    <row r="183" spans="1:59" s="27" customFormat="1" ht="15" customHeight="1">
      <c r="A183" s="50" t="s">
        <v>6</v>
      </c>
      <c r="B183" s="50"/>
      <c r="C183" s="51"/>
      <c r="D183" s="51"/>
      <c r="E183" s="51"/>
      <c r="F183" s="51"/>
      <c r="G183" s="51"/>
      <c r="H183" s="51"/>
      <c r="I183" s="51"/>
      <c r="J183" s="51">
        <f>MAX(MIN(DATA!$E$22-DATA!$D$22,Travail!J181-Travail!J178-Travail!J182-I181),0)</f>
        <v>0</v>
      </c>
      <c r="K183" s="50"/>
      <c r="L183" s="51"/>
      <c r="M183" s="51"/>
      <c r="N183" s="51"/>
      <c r="O183" s="51"/>
      <c r="P183" s="51"/>
      <c r="Q183" s="51"/>
      <c r="R183" s="51"/>
      <c r="S183" s="51">
        <f>MAX(MIN(DATA!$E$22-DATA!$D$22,Travail!S181-Travail!S178-Travail!S182-R181),0)</f>
        <v>0</v>
      </c>
      <c r="T183" s="50"/>
      <c r="U183" s="51"/>
      <c r="V183" s="51"/>
      <c r="W183" s="51"/>
      <c r="X183" s="51"/>
      <c r="Y183" s="51"/>
      <c r="Z183" s="51"/>
      <c r="AA183" s="51"/>
      <c r="AB183" s="51">
        <f>MAX(MIN(DATA!$E$22-DATA!$D$22,Travail!AB181-Travail!AB178-Travail!AB182-AA181),0)</f>
        <v>0</v>
      </c>
      <c r="AC183" s="50"/>
      <c r="AD183" s="51"/>
      <c r="AE183" s="51"/>
      <c r="AF183" s="51"/>
      <c r="AG183" s="51"/>
      <c r="AH183" s="51"/>
      <c r="AI183" s="51"/>
      <c r="AJ183" s="51"/>
      <c r="AK183" s="51">
        <f>MAX(MIN(DATA!$E$22-DATA!$D$22,Travail!AK181-Travail!AK178-Travail!AK182-AJ181),0)</f>
        <v>0</v>
      </c>
      <c r="AL183" s="50"/>
      <c r="AM183" s="51"/>
      <c r="AN183" s="51"/>
      <c r="AO183" s="51"/>
      <c r="AP183" s="51"/>
      <c r="AQ183" s="51"/>
      <c r="AR183" s="51"/>
      <c r="AS183" s="51"/>
      <c r="AT183" s="51">
        <f>MAX(MIN(DATA!$E$22-DATA!$D$22,Travail!AT181-Travail!AT178-Travail!AT182-AS181),0)</f>
        <v>0</v>
      </c>
      <c r="AU183" s="50"/>
      <c r="AV183" s="51"/>
      <c r="AW183" s="51"/>
      <c r="AX183" s="51">
        <f>MAX(MIN(DATA!$E$22-DATA!$D$22,Travail!AX181-Travail!AX178-Travail!AX182),0)</f>
        <v>0</v>
      </c>
      <c r="AY183" s="51">
        <f t="shared" si="409"/>
        <v>0</v>
      </c>
      <c r="AZ183" s="25"/>
      <c r="BA183" s="25"/>
      <c r="BB183" s="25"/>
      <c r="BC183" s="25"/>
      <c r="BD183" s="25"/>
      <c r="BE183" s="25"/>
      <c r="BF183" s="25"/>
      <c r="BG183" s="28"/>
    </row>
    <row r="184" spans="1:59" s="5" customFormat="1" ht="15" customHeight="1">
      <c r="A184" s="47" t="s">
        <v>5</v>
      </c>
      <c r="B184" s="47"/>
      <c r="C184" s="48"/>
      <c r="D184" s="48"/>
      <c r="E184" s="48"/>
      <c r="F184" s="48"/>
      <c r="G184" s="48"/>
      <c r="H184" s="48"/>
      <c r="I184" s="48"/>
      <c r="J184" s="51">
        <f>MAX(J181-J178-J183-J182-J185,0)</f>
        <v>0</v>
      </c>
      <c r="K184" s="47"/>
      <c r="L184" s="48"/>
      <c r="M184" s="48"/>
      <c r="N184" s="48"/>
      <c r="O184" s="48"/>
      <c r="P184" s="48"/>
      <c r="Q184" s="48"/>
      <c r="R184" s="48"/>
      <c r="S184" s="51">
        <f>MAX(S181-S178-S183-S182-S185,0)</f>
        <v>0</v>
      </c>
      <c r="T184" s="47"/>
      <c r="U184" s="48"/>
      <c r="V184" s="48"/>
      <c r="W184" s="48"/>
      <c r="X184" s="48"/>
      <c r="Y184" s="48"/>
      <c r="Z184" s="48"/>
      <c r="AA184" s="48"/>
      <c r="AB184" s="51">
        <f>MAX(AB181-AB178-AB183-AB182-AB185,0)</f>
        <v>0</v>
      </c>
      <c r="AC184" s="47"/>
      <c r="AD184" s="48"/>
      <c r="AE184" s="48"/>
      <c r="AF184" s="48"/>
      <c r="AG184" s="48"/>
      <c r="AH184" s="48"/>
      <c r="AI184" s="48"/>
      <c r="AJ184" s="48"/>
      <c r="AK184" s="51">
        <f>MAX(AK181-AK178-AK183-AK182-AK185,0)</f>
        <v>0</v>
      </c>
      <c r="AL184" s="47"/>
      <c r="AM184" s="48"/>
      <c r="AN184" s="48"/>
      <c r="AO184" s="48"/>
      <c r="AP184" s="48"/>
      <c r="AQ184" s="48"/>
      <c r="AR184" s="48"/>
      <c r="AS184" s="48"/>
      <c r="AT184" s="51">
        <f>MAX(AT181-AT178-AT183-AT182-AT185,0)</f>
        <v>0</v>
      </c>
      <c r="AU184" s="47"/>
      <c r="AV184" s="48"/>
      <c r="AW184" s="48"/>
      <c r="AX184" s="97">
        <f>MAX(AX181-AX178-AX183-AX182,0)</f>
        <v>0</v>
      </c>
      <c r="AY184" s="49">
        <f t="shared" si="409"/>
        <v>0</v>
      </c>
      <c r="AZ184" s="39"/>
      <c r="BA184" s="39"/>
      <c r="BB184" s="39"/>
      <c r="BC184" s="39"/>
      <c r="BD184" s="39"/>
      <c r="BE184" s="39"/>
      <c r="BF184" s="29"/>
    </row>
    <row r="185" spans="1:59" s="27" customFormat="1" ht="15" customHeight="1">
      <c r="A185" s="50" t="s">
        <v>7</v>
      </c>
      <c r="B185" s="50"/>
      <c r="C185" s="51">
        <f>IF(C176="Dim",C181,IF(C191="ferie",C181,0))</f>
        <v>0</v>
      </c>
      <c r="D185" s="51">
        <f t="shared" ref="D185:I185" si="416">IF(D176="Dim",D181,IF(D191="ferie",D181,0))</f>
        <v>0</v>
      </c>
      <c r="E185" s="51">
        <f t="shared" si="416"/>
        <v>0</v>
      </c>
      <c r="F185" s="51">
        <f t="shared" si="416"/>
        <v>0</v>
      </c>
      <c r="G185" s="51">
        <f t="shared" si="416"/>
        <v>0</v>
      </c>
      <c r="H185" s="51">
        <f t="shared" si="416"/>
        <v>0</v>
      </c>
      <c r="I185" s="51">
        <f t="shared" si="416"/>
        <v>0</v>
      </c>
      <c r="J185" s="51">
        <f t="shared" si="399"/>
        <v>0</v>
      </c>
      <c r="K185" s="50"/>
      <c r="L185" s="51">
        <f>IF(L176="Dim",L181,IF(L191="ferie",L181,0))</f>
        <v>0</v>
      </c>
      <c r="M185" s="51">
        <f t="shared" ref="M185:R185" si="417">IF(M176="Dim",M181,IF(M191="ferie",M181,0))</f>
        <v>0</v>
      </c>
      <c r="N185" s="51">
        <f t="shared" si="417"/>
        <v>0</v>
      </c>
      <c r="O185" s="51">
        <f t="shared" si="417"/>
        <v>0</v>
      </c>
      <c r="P185" s="51">
        <f t="shared" si="417"/>
        <v>0</v>
      </c>
      <c r="Q185" s="51">
        <f>IF(Q176="Dim",Q181,IF(Q191="ferie",Q181,0))</f>
        <v>0</v>
      </c>
      <c r="R185" s="51">
        <f t="shared" si="417"/>
        <v>0</v>
      </c>
      <c r="S185" s="51">
        <f t="shared" si="401"/>
        <v>0</v>
      </c>
      <c r="T185" s="50"/>
      <c r="U185" s="51">
        <f>IF(U176="Dim",U181,IF(U191="ferie",U181,0))</f>
        <v>0</v>
      </c>
      <c r="V185" s="51">
        <f t="shared" ref="V185:AA185" si="418">IF(V176="Dim",V181,IF(V191="ferie",V181,0))</f>
        <v>0</v>
      </c>
      <c r="W185" s="51">
        <f t="shared" si="418"/>
        <v>0</v>
      </c>
      <c r="X185" s="51">
        <f t="shared" si="418"/>
        <v>0</v>
      </c>
      <c r="Y185" s="51">
        <f t="shared" si="418"/>
        <v>0</v>
      </c>
      <c r="Z185" s="51">
        <f t="shared" si="418"/>
        <v>0</v>
      </c>
      <c r="AA185" s="51">
        <f t="shared" si="418"/>
        <v>0</v>
      </c>
      <c r="AB185" s="51">
        <f t="shared" si="403"/>
        <v>0</v>
      </c>
      <c r="AC185" s="50"/>
      <c r="AD185" s="51">
        <f>IF(AD176="Dim",AD181,IF(AD191="ferie",AD181,0))</f>
        <v>0</v>
      </c>
      <c r="AE185" s="51">
        <f t="shared" ref="AE185:AJ185" si="419">IF(AE176="Dim",AE181,IF(AE191="ferie",AE181,0))</f>
        <v>0</v>
      </c>
      <c r="AF185" s="51">
        <f t="shared" si="419"/>
        <v>0</v>
      </c>
      <c r="AG185" s="51">
        <f t="shared" si="419"/>
        <v>0</v>
      </c>
      <c r="AH185" s="51">
        <f t="shared" si="419"/>
        <v>0</v>
      </c>
      <c r="AI185" s="51">
        <f t="shared" si="419"/>
        <v>0</v>
      </c>
      <c r="AJ185" s="51">
        <f t="shared" si="419"/>
        <v>0</v>
      </c>
      <c r="AK185" s="51">
        <f t="shared" si="405"/>
        <v>0</v>
      </c>
      <c r="AL185" s="50"/>
      <c r="AM185" s="51">
        <f>IF(AM176="Dim",AM181,IF(AM191="ferie",AM181,0))</f>
        <v>0</v>
      </c>
      <c r="AN185" s="51">
        <f t="shared" ref="AN185:AW185" si="420">IF(AN176="Dim",AN181,IF(AN191="ferie",AN181,0))</f>
        <v>0</v>
      </c>
      <c r="AO185" s="51">
        <f t="shared" si="420"/>
        <v>0</v>
      </c>
      <c r="AP185" s="51">
        <f t="shared" si="420"/>
        <v>0</v>
      </c>
      <c r="AQ185" s="51">
        <f t="shared" si="420"/>
        <v>0</v>
      </c>
      <c r="AR185" s="51">
        <f t="shared" si="420"/>
        <v>0</v>
      </c>
      <c r="AS185" s="51">
        <f t="shared" si="420"/>
        <v>0</v>
      </c>
      <c r="AT185" s="51">
        <f t="shared" si="407"/>
        <v>0</v>
      </c>
      <c r="AU185" s="50"/>
      <c r="AV185" s="51">
        <f>IF(AV176="Dim",AV181,IF(AV191="ferie",AV181,0))</f>
        <v>0</v>
      </c>
      <c r="AW185" s="51">
        <f t="shared" si="420"/>
        <v>0</v>
      </c>
      <c r="AX185" s="51">
        <f t="shared" ref="AX185:AX190" si="421">SUM(AV185:AW185)</f>
        <v>0</v>
      </c>
      <c r="AY185" s="51">
        <f t="shared" si="409"/>
        <v>0</v>
      </c>
      <c r="AZ185" s="25"/>
      <c r="BA185" s="25"/>
      <c r="BB185" s="25"/>
      <c r="BC185" s="25"/>
      <c r="BD185" s="25"/>
      <c r="BE185" s="25"/>
      <c r="BF185" s="25"/>
      <c r="BG185" s="28"/>
    </row>
    <row r="186" spans="1:59" s="27" customFormat="1" ht="15" customHeight="1">
      <c r="A186" s="47" t="s">
        <v>8</v>
      </c>
      <c r="B186" s="47"/>
      <c r="C186" s="48"/>
      <c r="D186" s="48"/>
      <c r="E186" s="48"/>
      <c r="F186" s="48"/>
      <c r="G186" s="48"/>
      <c r="H186" s="48"/>
      <c r="I186" s="48"/>
      <c r="J186" s="51">
        <f t="shared" ref="J186:J190" si="422">SUM(C186:I186)</f>
        <v>0</v>
      </c>
      <c r="K186" s="47"/>
      <c r="L186" s="48"/>
      <c r="M186" s="48"/>
      <c r="N186" s="48"/>
      <c r="O186" s="48"/>
      <c r="P186" s="48"/>
      <c r="Q186" s="48"/>
      <c r="R186" s="48"/>
      <c r="S186" s="51">
        <f t="shared" ref="S186:S190" si="423">SUM(L186:R186)</f>
        <v>0</v>
      </c>
      <c r="T186" s="47"/>
      <c r="U186" s="48"/>
      <c r="V186" s="48"/>
      <c r="W186" s="48"/>
      <c r="X186" s="48"/>
      <c r="Y186" s="48"/>
      <c r="Z186" s="48"/>
      <c r="AA186" s="48"/>
      <c r="AB186" s="51">
        <f t="shared" ref="AB186:AB190" si="424">SUM(U186:AA186)</f>
        <v>0</v>
      </c>
      <c r="AC186" s="47"/>
      <c r="AD186" s="48"/>
      <c r="AE186" s="48"/>
      <c r="AF186" s="48"/>
      <c r="AG186" s="48"/>
      <c r="AH186" s="48"/>
      <c r="AI186" s="48"/>
      <c r="AJ186" s="48"/>
      <c r="AK186" s="51">
        <f t="shared" ref="AK186:AK190" si="425">SUM(AD186:AJ186)</f>
        <v>0</v>
      </c>
      <c r="AL186" s="47"/>
      <c r="AM186" s="48"/>
      <c r="AN186" s="48"/>
      <c r="AO186" s="48"/>
      <c r="AP186" s="48"/>
      <c r="AQ186" s="48"/>
      <c r="AR186" s="48"/>
      <c r="AS186" s="48"/>
      <c r="AT186" s="51">
        <f t="shared" ref="AT186:AT190" si="426">SUM(AM186:AS186)</f>
        <v>0</v>
      </c>
      <c r="AU186" s="47"/>
      <c r="AV186" s="48"/>
      <c r="AW186" s="48"/>
      <c r="AX186" s="51">
        <f>SUM(AV186:AW186)</f>
        <v>0</v>
      </c>
      <c r="AY186" s="48">
        <f t="shared" si="409"/>
        <v>0</v>
      </c>
      <c r="AZ186" s="39"/>
      <c r="BA186" s="39"/>
      <c r="BB186" s="39"/>
      <c r="BC186" s="39"/>
      <c r="BD186" s="39"/>
      <c r="BE186" s="39"/>
      <c r="BF186" s="29"/>
    </row>
    <row r="187" spans="1:59" s="27" customFormat="1" ht="15" customHeight="1">
      <c r="A187" s="50" t="s">
        <v>9</v>
      </c>
      <c r="B187" s="50"/>
      <c r="C187" s="51"/>
      <c r="D187" s="51"/>
      <c r="E187" s="51"/>
      <c r="F187" s="51"/>
      <c r="G187" s="51"/>
      <c r="H187" s="51"/>
      <c r="I187" s="51"/>
      <c r="J187" s="51">
        <f t="shared" si="422"/>
        <v>0</v>
      </c>
      <c r="K187" s="50"/>
      <c r="L187" s="51"/>
      <c r="M187" s="51"/>
      <c r="N187" s="51"/>
      <c r="O187" s="51"/>
      <c r="P187" s="51"/>
      <c r="Q187" s="51"/>
      <c r="R187" s="51"/>
      <c r="S187" s="51">
        <f t="shared" si="423"/>
        <v>0</v>
      </c>
      <c r="T187" s="50"/>
      <c r="U187" s="51"/>
      <c r="V187" s="51"/>
      <c r="W187" s="51"/>
      <c r="X187" s="51"/>
      <c r="Y187" s="51"/>
      <c r="Z187" s="51"/>
      <c r="AA187" s="51"/>
      <c r="AB187" s="51">
        <f t="shared" si="424"/>
        <v>0</v>
      </c>
      <c r="AC187" s="50"/>
      <c r="AD187" s="51"/>
      <c r="AE187" s="51"/>
      <c r="AF187" s="51"/>
      <c r="AG187" s="51"/>
      <c r="AH187" s="51"/>
      <c r="AI187" s="51"/>
      <c r="AJ187" s="51"/>
      <c r="AK187" s="51">
        <f t="shared" si="425"/>
        <v>0</v>
      </c>
      <c r="AL187" s="50"/>
      <c r="AM187" s="51"/>
      <c r="AN187" s="51"/>
      <c r="AO187" s="51"/>
      <c r="AP187" s="51"/>
      <c r="AQ187" s="51"/>
      <c r="AR187" s="51"/>
      <c r="AS187" s="51"/>
      <c r="AT187" s="51">
        <f t="shared" si="426"/>
        <v>0</v>
      </c>
      <c r="AU187" s="50"/>
      <c r="AV187" s="51"/>
      <c r="AW187" s="51"/>
      <c r="AX187" s="51">
        <f t="shared" si="421"/>
        <v>0</v>
      </c>
      <c r="AY187" s="51">
        <f t="shared" si="409"/>
        <v>0</v>
      </c>
      <c r="AZ187" s="25"/>
      <c r="BA187" s="25"/>
      <c r="BB187" s="25"/>
      <c r="BC187" s="25"/>
      <c r="BD187" s="25"/>
      <c r="BE187" s="25"/>
      <c r="BF187" s="25"/>
      <c r="BG187" s="28"/>
    </row>
    <row r="188" spans="1:59" s="5" customFormat="1" ht="15" customHeight="1">
      <c r="A188" s="47" t="s">
        <v>11</v>
      </c>
      <c r="B188" s="47"/>
      <c r="C188" s="48"/>
      <c r="D188" s="48"/>
      <c r="E188" s="48"/>
      <c r="F188" s="48"/>
      <c r="G188" s="48"/>
      <c r="H188" s="48"/>
      <c r="I188" s="48"/>
      <c r="J188" s="51">
        <f t="shared" si="422"/>
        <v>0</v>
      </c>
      <c r="K188" s="47"/>
      <c r="L188" s="48"/>
      <c r="M188" s="48"/>
      <c r="N188" s="48"/>
      <c r="O188" s="48"/>
      <c r="P188" s="48"/>
      <c r="Q188" s="48"/>
      <c r="R188" s="48"/>
      <c r="S188" s="51">
        <f t="shared" si="423"/>
        <v>0</v>
      </c>
      <c r="T188" s="47"/>
      <c r="U188" s="48"/>
      <c r="V188" s="48"/>
      <c r="W188" s="48"/>
      <c r="X188" s="48"/>
      <c r="Y188" s="48"/>
      <c r="Z188" s="48"/>
      <c r="AA188" s="48"/>
      <c r="AB188" s="51">
        <f t="shared" si="424"/>
        <v>0</v>
      </c>
      <c r="AC188" s="47"/>
      <c r="AD188" s="48"/>
      <c r="AE188" s="48"/>
      <c r="AF188" s="48"/>
      <c r="AG188" s="48"/>
      <c r="AH188" s="48"/>
      <c r="AI188" s="48"/>
      <c r="AJ188" s="48"/>
      <c r="AK188" s="51">
        <f t="shared" si="425"/>
        <v>0</v>
      </c>
      <c r="AL188" s="47"/>
      <c r="AM188" s="48"/>
      <c r="AN188" s="48"/>
      <c r="AO188" s="48"/>
      <c r="AP188" s="48"/>
      <c r="AQ188" s="48"/>
      <c r="AR188" s="48"/>
      <c r="AS188" s="48"/>
      <c r="AT188" s="51">
        <f t="shared" si="426"/>
        <v>0</v>
      </c>
      <c r="AU188" s="47"/>
      <c r="AV188" s="48"/>
      <c r="AW188" s="48"/>
      <c r="AX188" s="51">
        <f t="shared" si="421"/>
        <v>0</v>
      </c>
      <c r="AY188" s="49">
        <f t="shared" si="409"/>
        <v>0</v>
      </c>
      <c r="AZ188" s="39"/>
      <c r="BA188" s="39"/>
      <c r="BB188" s="39"/>
      <c r="BC188" s="39"/>
      <c r="BD188" s="39"/>
      <c r="BE188" s="39"/>
      <c r="BF188" s="29"/>
    </row>
    <row r="189" spans="1:59" s="27" customFormat="1" ht="15" customHeight="1">
      <c r="A189" s="50" t="s">
        <v>10</v>
      </c>
      <c r="B189" s="50"/>
      <c r="C189" s="51"/>
      <c r="D189" s="51"/>
      <c r="E189" s="51"/>
      <c r="F189" s="51"/>
      <c r="G189" s="51"/>
      <c r="H189" s="51"/>
      <c r="I189" s="51"/>
      <c r="J189" s="51">
        <f t="shared" si="422"/>
        <v>0</v>
      </c>
      <c r="K189" s="50"/>
      <c r="L189" s="51"/>
      <c r="M189" s="51"/>
      <c r="N189" s="51"/>
      <c r="O189" s="51"/>
      <c r="P189" s="51"/>
      <c r="Q189" s="51"/>
      <c r="R189" s="51"/>
      <c r="S189" s="51">
        <f t="shared" si="423"/>
        <v>0</v>
      </c>
      <c r="T189" s="50"/>
      <c r="U189" s="51"/>
      <c r="V189" s="51"/>
      <c r="W189" s="51"/>
      <c r="X189" s="51"/>
      <c r="Y189" s="51"/>
      <c r="Z189" s="51"/>
      <c r="AA189" s="51"/>
      <c r="AB189" s="51">
        <f t="shared" si="424"/>
        <v>0</v>
      </c>
      <c r="AC189" s="50"/>
      <c r="AD189" s="51"/>
      <c r="AE189" s="51"/>
      <c r="AF189" s="51"/>
      <c r="AG189" s="51"/>
      <c r="AH189" s="51"/>
      <c r="AI189" s="51"/>
      <c r="AJ189" s="51"/>
      <c r="AK189" s="51">
        <f t="shared" si="425"/>
        <v>0</v>
      </c>
      <c r="AL189" s="50"/>
      <c r="AM189" s="51"/>
      <c r="AN189" s="51"/>
      <c r="AO189" s="51"/>
      <c r="AP189" s="51"/>
      <c r="AQ189" s="51"/>
      <c r="AR189" s="51"/>
      <c r="AS189" s="51"/>
      <c r="AT189" s="51">
        <f t="shared" si="426"/>
        <v>0</v>
      </c>
      <c r="AU189" s="50"/>
      <c r="AV189" s="51"/>
      <c r="AW189" s="51"/>
      <c r="AX189" s="51">
        <f t="shared" si="421"/>
        <v>0</v>
      </c>
      <c r="AY189" s="51">
        <f t="shared" si="409"/>
        <v>0</v>
      </c>
      <c r="AZ189" s="25"/>
      <c r="BA189" s="25"/>
      <c r="BB189" s="25"/>
      <c r="BC189" s="25"/>
      <c r="BD189" s="25"/>
      <c r="BE189" s="25"/>
      <c r="BF189" s="25"/>
      <c r="BG189" s="28"/>
    </row>
    <row r="190" spans="1:59" s="5" customFormat="1" ht="15" customHeight="1">
      <c r="A190" s="47" t="s">
        <v>37</v>
      </c>
      <c r="B190" s="47"/>
      <c r="C190" s="48">
        <f>IF(C178="nuit",C181*0.02,0)</f>
        <v>0</v>
      </c>
      <c r="D190" s="48">
        <f>IF(D178="nuit",D181*0.02,0)</f>
        <v>0</v>
      </c>
      <c r="E190" s="48">
        <f t="shared" ref="E190:I190" si="427">IF(E178="nuit",E181*0.02,0)</f>
        <v>0</v>
      </c>
      <c r="F190" s="48">
        <f t="shared" si="427"/>
        <v>0</v>
      </c>
      <c r="G190" s="48">
        <f>IF(G178="nuit",G181*0.02,0)</f>
        <v>0</v>
      </c>
      <c r="H190" s="48">
        <f t="shared" si="427"/>
        <v>0</v>
      </c>
      <c r="I190" s="48">
        <f t="shared" si="427"/>
        <v>0</v>
      </c>
      <c r="J190" s="51">
        <f t="shared" si="422"/>
        <v>0</v>
      </c>
      <c r="K190" s="47"/>
      <c r="L190" s="48">
        <f>IF(L178="nuit",L181*0.02,0)</f>
        <v>0</v>
      </c>
      <c r="M190" s="48">
        <f>IF(M178="nuit",M181*0.02,0)</f>
        <v>0</v>
      </c>
      <c r="N190" s="48">
        <f t="shared" ref="N190:R190" si="428">IF(N178="nuit",N181*0.02,0)</f>
        <v>0</v>
      </c>
      <c r="O190" s="48">
        <f t="shared" si="428"/>
        <v>0</v>
      </c>
      <c r="P190" s="48">
        <f>IF(P178="nuit",P181*0.02,0)</f>
        <v>0</v>
      </c>
      <c r="Q190" s="48">
        <f t="shared" si="428"/>
        <v>0</v>
      </c>
      <c r="R190" s="48">
        <f t="shared" si="428"/>
        <v>0</v>
      </c>
      <c r="S190" s="51">
        <f t="shared" si="423"/>
        <v>0</v>
      </c>
      <c r="T190" s="47"/>
      <c r="U190" s="48">
        <f>IF(U178="nuit",U181*0.02,0)</f>
        <v>0</v>
      </c>
      <c r="V190" s="48">
        <f>IF(V178="nuit",V181*0.02,0)</f>
        <v>0</v>
      </c>
      <c r="W190" s="48">
        <f t="shared" ref="W190:AA190" si="429">IF(W178="nuit",W181*0.02,0)</f>
        <v>0</v>
      </c>
      <c r="X190" s="48">
        <f t="shared" si="429"/>
        <v>0</v>
      </c>
      <c r="Y190" s="48">
        <f>IF(Y178="nuit",Y181*0.02,0)</f>
        <v>0</v>
      </c>
      <c r="Z190" s="48">
        <f t="shared" si="429"/>
        <v>0</v>
      </c>
      <c r="AA190" s="48">
        <f t="shared" si="429"/>
        <v>0</v>
      </c>
      <c r="AB190" s="51">
        <f t="shared" si="424"/>
        <v>0</v>
      </c>
      <c r="AC190" s="47"/>
      <c r="AD190" s="48">
        <f>IF(AD178="nuit",AD181*0.02,0)</f>
        <v>0.16</v>
      </c>
      <c r="AE190" s="48">
        <f>IF(AE178="nuit",AE181*0.02,0)</f>
        <v>0.16</v>
      </c>
      <c r="AF190" s="48">
        <f t="shared" ref="AF190:AJ190" si="430">IF(AF178="nuit",AF181*0.02,0)</f>
        <v>0.16</v>
      </c>
      <c r="AG190" s="48">
        <f t="shared" si="430"/>
        <v>0.16</v>
      </c>
      <c r="AH190" s="48">
        <f>IF(AH178="nuit",AH181*0.02,0)</f>
        <v>0.16</v>
      </c>
      <c r="AI190" s="48">
        <f t="shared" si="430"/>
        <v>0</v>
      </c>
      <c r="AJ190" s="48">
        <f t="shared" si="430"/>
        <v>0</v>
      </c>
      <c r="AK190" s="51">
        <f t="shared" si="425"/>
        <v>0.8</v>
      </c>
      <c r="AL190" s="47"/>
      <c r="AM190" s="48">
        <f>IF(AM178="nuit",AM181*0.02,0)</f>
        <v>0</v>
      </c>
      <c r="AN190" s="48">
        <f>IF(AN178="nuit",AN181*0.02,0)</f>
        <v>0</v>
      </c>
      <c r="AO190" s="48">
        <f t="shared" ref="AO190:AS190" si="431">IF(AO178="nuit",AO181*0.02,0)</f>
        <v>0</v>
      </c>
      <c r="AP190" s="48">
        <f t="shared" si="431"/>
        <v>0</v>
      </c>
      <c r="AQ190" s="48">
        <f>IF(AQ178="nuit",AQ181*0.02,0)</f>
        <v>0</v>
      </c>
      <c r="AR190" s="48">
        <f t="shared" si="431"/>
        <v>0</v>
      </c>
      <c r="AS190" s="48">
        <f t="shared" si="431"/>
        <v>0</v>
      </c>
      <c r="AT190" s="51">
        <f t="shared" si="426"/>
        <v>0</v>
      </c>
      <c r="AU190" s="47"/>
      <c r="AV190" s="48">
        <f>IF(AV178="nuit",AV181*0.02,0)</f>
        <v>0</v>
      </c>
      <c r="AW190" s="48">
        <f>IF(AW178="nuit",AW181*0.02,0)</f>
        <v>0</v>
      </c>
      <c r="AX190" s="51">
        <f t="shared" si="421"/>
        <v>0</v>
      </c>
      <c r="AY190" s="49">
        <f>J190+S190+AB190+AK190+AT190+AX190</f>
        <v>0.8</v>
      </c>
      <c r="AZ190" s="39"/>
      <c r="BA190" s="39"/>
      <c r="BB190" s="39"/>
      <c r="BC190" s="39"/>
      <c r="BD190" s="39"/>
      <c r="BE190" s="39"/>
      <c r="BF190" s="29"/>
    </row>
    <row r="191" spans="1:59" s="27" customFormat="1" ht="15" customHeight="1">
      <c r="A191" s="50" t="s">
        <v>24</v>
      </c>
      <c r="B191" s="50"/>
      <c r="C191" s="51"/>
      <c r="D191" s="51"/>
      <c r="E191" s="51"/>
      <c r="F191" s="51"/>
      <c r="G191" s="51"/>
      <c r="H191" s="51"/>
      <c r="I191" s="51"/>
      <c r="J191" s="51"/>
      <c r="K191" s="50"/>
      <c r="L191" s="51"/>
      <c r="M191" s="51"/>
      <c r="N191" s="51"/>
      <c r="O191" s="51"/>
      <c r="P191" s="51"/>
      <c r="Q191" s="51"/>
      <c r="R191" s="51"/>
      <c r="S191" s="51"/>
      <c r="T191" s="50"/>
      <c r="U191" s="51"/>
      <c r="V191" s="51"/>
      <c r="W191" s="51"/>
      <c r="X191" s="51"/>
      <c r="Y191" s="51"/>
      <c r="Z191" s="51"/>
      <c r="AA191" s="51"/>
      <c r="AB191" s="51"/>
      <c r="AC191" s="50"/>
      <c r="AD191" s="51"/>
      <c r="AE191" s="51"/>
      <c r="AF191" s="51"/>
      <c r="AG191" s="51"/>
      <c r="AH191" s="51"/>
      <c r="AI191" s="51"/>
      <c r="AJ191" s="51"/>
      <c r="AK191" s="51"/>
      <c r="AL191" s="50"/>
      <c r="AM191" s="51"/>
      <c r="AN191" s="51"/>
      <c r="AO191" s="51"/>
      <c r="AP191" s="51"/>
      <c r="AQ191" s="51"/>
      <c r="AR191" s="51"/>
      <c r="AS191" s="51"/>
      <c r="AT191" s="51"/>
      <c r="AU191" s="50"/>
      <c r="AV191" s="51"/>
      <c r="AW191" s="51"/>
      <c r="AX191" s="51"/>
      <c r="AY191" s="51"/>
      <c r="AZ191" s="25"/>
      <c r="BA191" s="25"/>
      <c r="BB191" s="25"/>
      <c r="BC191" s="25"/>
      <c r="BD191" s="25"/>
      <c r="BE191" s="25"/>
      <c r="BF191" s="25"/>
      <c r="BG191" s="28"/>
    </row>
    <row r="192" spans="1:59" s="99" customFormat="1" ht="15" customHeight="1">
      <c r="A192" s="104" t="s">
        <v>112</v>
      </c>
      <c r="B192" s="105"/>
      <c r="C192" s="106">
        <f>IF(C177="","",IFERROR(VLOOKUP(B176,[2]DATA!$A$12:$H$16,2,TRUE),0))</f>
        <v>1</v>
      </c>
      <c r="D192" s="106">
        <f>IF(D177="","",IFERROR(VLOOKUP(B176,[2]DATA!$A$12:$H$16,3,TRUE),0))</f>
        <v>0</v>
      </c>
      <c r="E192" s="106">
        <f>IF(E177="","",IFERROR(VLOOKUP(B176,[2]DATA!$A$12:$H$16,4,TRUE),0))</f>
        <v>0</v>
      </c>
      <c r="F192" s="106">
        <f>IF(F177="","",IFERROR(VLOOKUP(B176,[2]DATA!$A$12:$H$16,5,TRUE),0))</f>
        <v>1</v>
      </c>
      <c r="G192" s="106">
        <f>IF(G177="","",IFERROR(VLOOKUP(B176,[2]DATA!$A$12:$H$16,6,TRUE),0))</f>
        <v>1</v>
      </c>
      <c r="H192" s="106"/>
      <c r="I192" s="106"/>
      <c r="J192" s="106">
        <f>SUM(C192:G192)</f>
        <v>3</v>
      </c>
      <c r="K192" s="106"/>
      <c r="L192" s="106">
        <f>IF(L177="","",IFERROR(VLOOKUP(K176,[2]DATA!$A$12:$H$16,2,TRUE),0))</f>
        <v>1</v>
      </c>
      <c r="M192" s="106">
        <f>IF(M177="","",IFERROR(VLOOKUP(K176,[2]DATA!$A$12:$H$16,3,TRUE),0))</f>
        <v>1</v>
      </c>
      <c r="N192" s="106">
        <f>IF(N177="","",IFERROR(VLOOKUP(K176,[2]DATA!$A$12:$H$16,4,TRUE),0))</f>
        <v>1</v>
      </c>
      <c r="O192" s="106">
        <f>IF(O177="","",IFERROR(VLOOKUP(K176,[2]DATA!$A$12:$H$16,5,TRUE),0))</f>
        <v>1</v>
      </c>
      <c r="P192" s="106">
        <f>IF(P177="","",IFERROR(VLOOKUP(K176,[2]DATA!$A$12:$H$16,6,TRUE),0))</f>
        <v>1</v>
      </c>
      <c r="Q192" s="106"/>
      <c r="R192" s="106"/>
      <c r="S192" s="106">
        <f>SUM(L192:P192)</f>
        <v>5</v>
      </c>
      <c r="T192" s="106"/>
      <c r="U192" s="106">
        <f>IF(U177="","",IFERROR(VLOOKUP(T176,[2]DATA!$A$12:$H$16,2,TRUE),0))</f>
        <v>1</v>
      </c>
      <c r="V192" s="106">
        <f>IF(V177="","",IFERROR(VLOOKUP(T176,[2]DATA!$A$12:$H$16,3,TRUE),0))</f>
        <v>1</v>
      </c>
      <c r="W192" s="106">
        <f>IF(W177="","",IFERROR(VLOOKUP(T176,[2]DATA!$A$12:$H$16,4,TRUE),0))</f>
        <v>1</v>
      </c>
      <c r="X192" s="106">
        <f>IF(X177="","",IFERROR(VLOOKUP(T176,[2]DATA!$A$12:$H$16,5,TRUE),0))</f>
        <v>0</v>
      </c>
      <c r="Y192" s="106">
        <f>IF(Y177="","",IFERROR(VLOOKUP(T176,[2]DATA!$A$12:$H$16,6,TRUE),0))</f>
        <v>0</v>
      </c>
      <c r="Z192" s="106"/>
      <c r="AA192" s="106"/>
      <c r="AB192" s="106">
        <f>SUM(U192:Y192)</f>
        <v>3</v>
      </c>
      <c r="AC192" s="106"/>
      <c r="AD192" s="106">
        <f>IF(AD177="","",IFERROR(VLOOKUP(AC176,[2]DATA!$A$12:$H$16,2,TRUE),0))</f>
        <v>1</v>
      </c>
      <c r="AE192" s="106">
        <f>IF(AE177="","",IFERROR(VLOOKUP(AC176,[2]DATA!$A$12:$H$16,3,TRUE),0))</f>
        <v>1</v>
      </c>
      <c r="AF192" s="106">
        <f>IF(AF177="","",IFERROR(VLOOKUP(AC176,[2]DATA!$A$12:$H$16,4,TRUE),0))</f>
        <v>1</v>
      </c>
      <c r="AG192" s="106">
        <f>IF(AG177="","",IFERROR(VLOOKUP(AC176,[2]DATA!$A$12:$H$16,5,TRUE),0))</f>
        <v>1</v>
      </c>
      <c r="AH192" s="106">
        <f>IF(AH177="","",IFERROR(VLOOKUP(AC176,[2]DATA!$A$12:$H$16,6,TRUE),0))</f>
        <v>1</v>
      </c>
      <c r="AI192" s="106"/>
      <c r="AJ192" s="106"/>
      <c r="AK192" s="106">
        <f>SUM(AD192:AH192)</f>
        <v>5</v>
      </c>
      <c r="AL192" s="106"/>
      <c r="AM192" s="106">
        <f>IF(AM177="","",IFERROR(VLOOKUP(AL176,[2]DATA!$A$12:$H$16,2,TRUE),0))</f>
        <v>1</v>
      </c>
      <c r="AN192" s="106">
        <f>IF(AN177="","",IFERROR(VLOOKUP(AL176,[2]DATA!$A$12:$H$16,3,TRUE),0))</f>
        <v>0</v>
      </c>
      <c r="AO192" s="106">
        <f>IF(AO177="","",IFERROR(VLOOKUP(AL176,[2]DATA!$A$12:$H$16,4,TRUE),0))</f>
        <v>0</v>
      </c>
      <c r="AP192" s="106" t="str">
        <f>IF(AP177="","",IFERROR(VLOOKUP(AL176,[2]DATA!$A$12:$H$16,5,TRUE),0))</f>
        <v/>
      </c>
      <c r="AQ192" s="106" t="str">
        <f>IF(AQ177="","",IFERROR(VLOOKUP(AL176,[2]DATA!$A$12:$H$16,6,TRUE),0))</f>
        <v/>
      </c>
      <c r="AR192" s="106"/>
      <c r="AS192" s="106"/>
      <c r="AT192" s="106">
        <f>SUM(AM192:AQ192)</f>
        <v>1</v>
      </c>
      <c r="AU192" s="106"/>
      <c r="AV192" s="106" t="str">
        <f>IF(AV177="","",IFERROR(VLOOKUP(AU176,[2]DATA!$A$12:$H$16,2,TRUE),0))</f>
        <v/>
      </c>
      <c r="AW192" s="106" t="str">
        <f>IF(AW177="","",IFERROR(VLOOKUP(AU176,[2]DATA!$A$12:$H$16,3,TRUE),0))</f>
        <v/>
      </c>
      <c r="AX192" s="106">
        <f>SUM(AV192:AW192)</f>
        <v>0</v>
      </c>
      <c r="AY192" s="107"/>
      <c r="AZ192" s="34"/>
      <c r="BA192" s="34"/>
      <c r="BB192" s="34"/>
      <c r="BC192" s="34"/>
      <c r="BD192" s="34"/>
      <c r="BE192" s="34"/>
      <c r="BF192" s="98"/>
    </row>
    <row r="193" spans="1:59" s="99" customFormat="1" ht="15" customHeight="1">
      <c r="A193" s="108" t="s">
        <v>113</v>
      </c>
      <c r="B193" s="109"/>
      <c r="C193" s="53"/>
      <c r="D193" s="53"/>
      <c r="E193" s="53"/>
      <c r="F193" s="53"/>
      <c r="G193" s="53"/>
      <c r="H193" s="53"/>
      <c r="I193" s="53"/>
      <c r="J193" s="53">
        <f>J180-J192</f>
        <v>0</v>
      </c>
      <c r="K193" s="53"/>
      <c r="L193" s="53"/>
      <c r="M193" s="53"/>
      <c r="N193" s="53"/>
      <c r="O193" s="53"/>
      <c r="P193" s="53"/>
      <c r="Q193" s="53"/>
      <c r="R193" s="53"/>
      <c r="S193" s="53">
        <f>S180-S192</f>
        <v>0</v>
      </c>
      <c r="T193" s="53"/>
      <c r="U193" s="53"/>
      <c r="V193" s="53"/>
      <c r="W193" s="53"/>
      <c r="X193" s="53"/>
      <c r="Y193" s="53"/>
      <c r="Z193" s="53"/>
      <c r="AA193" s="53"/>
      <c r="AB193" s="53">
        <f>AB180-AB192</f>
        <v>0</v>
      </c>
      <c r="AC193" s="53"/>
      <c r="AD193" s="53"/>
      <c r="AE193" s="53"/>
      <c r="AF193" s="53"/>
      <c r="AG193" s="53"/>
      <c r="AH193" s="53"/>
      <c r="AI193" s="53"/>
      <c r="AJ193" s="53"/>
      <c r="AK193" s="53">
        <f>AK180-AK192</f>
        <v>0</v>
      </c>
      <c r="AL193" s="53"/>
      <c r="AM193" s="53"/>
      <c r="AN193" s="53"/>
      <c r="AO193" s="53"/>
      <c r="AP193" s="53"/>
      <c r="AQ193" s="53"/>
      <c r="AR193" s="53"/>
      <c r="AS193" s="53"/>
      <c r="AT193" s="53">
        <f>AT180-AT192</f>
        <v>0</v>
      </c>
      <c r="AU193" s="53"/>
      <c r="AV193" s="53"/>
      <c r="AW193" s="53"/>
      <c r="AX193" s="53">
        <f>AX180-AX192</f>
        <v>0</v>
      </c>
      <c r="AY193" s="110">
        <f>AT193+AK193+AB193+S193+J193</f>
        <v>0</v>
      </c>
      <c r="AZ193" s="34"/>
      <c r="BA193" s="34"/>
      <c r="BB193" s="34"/>
      <c r="BC193" s="34"/>
      <c r="BD193" s="34"/>
      <c r="BE193" s="34"/>
      <c r="BF193" s="98"/>
    </row>
    <row r="194" spans="1:59" ht="27">
      <c r="A194" s="16"/>
      <c r="B194" s="16"/>
      <c r="C194" s="101" t="s">
        <v>22</v>
      </c>
      <c r="D194" s="101"/>
      <c r="E194" s="101"/>
      <c r="F194" s="101"/>
      <c r="G194" s="101"/>
      <c r="H194" s="112">
        <f>Année_Calendaire</f>
        <v>2018</v>
      </c>
      <c r="I194" s="112"/>
      <c r="J194" s="94"/>
      <c r="K194" s="43"/>
      <c r="L194" s="102"/>
      <c r="M194" s="102"/>
      <c r="N194" s="102"/>
      <c r="O194" s="102"/>
      <c r="P194" s="102"/>
      <c r="Q194" s="102"/>
      <c r="R194" s="102"/>
      <c r="S194" s="36"/>
      <c r="T194" s="43"/>
      <c r="U194" s="101" t="s">
        <v>22</v>
      </c>
      <c r="V194" s="101"/>
      <c r="W194" s="101"/>
      <c r="X194" s="101"/>
      <c r="Y194" s="101"/>
      <c r="Z194" s="112">
        <f>Année_Calendaire</f>
        <v>2018</v>
      </c>
      <c r="AA194" s="112"/>
      <c r="AB194" s="36"/>
      <c r="AC194" s="43"/>
      <c r="AD194" s="102"/>
      <c r="AE194" s="102"/>
      <c r="AF194" s="102"/>
      <c r="AG194" s="102"/>
      <c r="AH194" s="102"/>
      <c r="AI194" s="102"/>
      <c r="AJ194" s="102"/>
      <c r="AK194" s="36"/>
      <c r="AL194" s="43"/>
      <c r="AM194" s="101" t="s">
        <v>22</v>
      </c>
      <c r="AN194" s="101"/>
      <c r="AO194" s="101"/>
      <c r="AP194" s="101"/>
      <c r="AQ194" s="101"/>
      <c r="AR194" s="112">
        <f>Année_Calendaire</f>
        <v>2018</v>
      </c>
      <c r="AS194" s="112"/>
      <c r="AT194" s="36"/>
      <c r="AU194" s="43"/>
      <c r="AV194" s="25"/>
      <c r="AW194" s="25"/>
      <c r="AX194" s="36"/>
    </row>
    <row r="195" spans="1:59" s="22" customFormat="1" ht="29.25" customHeight="1">
      <c r="A195" s="35"/>
      <c r="B195" s="54" t="str">
        <f>IF(C195="",AU176,LEFT(AU176)&amp;MOD(RIGHT(AU176),4)+1)</f>
        <v>c3</v>
      </c>
      <c r="C195" s="100" t="str">
        <f>IF(C196&lt;&gt;"","Lun","")</f>
        <v/>
      </c>
      <c r="D195" s="100" t="str">
        <f>IF(D196&lt;&gt;"","Mar","")</f>
        <v/>
      </c>
      <c r="E195" s="100" t="str">
        <f>IF(E196&lt;&gt;"","Mer","")</f>
        <v/>
      </c>
      <c r="F195" s="100" t="str">
        <f>IF(F196&lt;&gt;"","Jeu","")</f>
        <v>Jeu</v>
      </c>
      <c r="G195" s="100" t="str">
        <f>IF(G196&lt;&gt;"","Ven","")</f>
        <v>Ven</v>
      </c>
      <c r="H195" s="100" t="str">
        <f>IF(H196&lt;&gt;"","Sam","")</f>
        <v>Sam</v>
      </c>
      <c r="I195" s="100" t="str">
        <f>IF(I196&lt;&gt;"","Dim","")</f>
        <v>Dim</v>
      </c>
      <c r="J195" s="113" t="s">
        <v>25</v>
      </c>
      <c r="K195" s="54" t="str">
        <f>IF(L195="",LEFT(B195)&amp;MOD(RIGHT(B195),5),LEFT(B195)&amp;MOD(RIGHT(B195),4)+1)</f>
        <v>c4</v>
      </c>
      <c r="L195" s="100" t="str">
        <f>IF(L196&lt;&gt;"","Lun","")</f>
        <v>Lun</v>
      </c>
      <c r="M195" s="100" t="str">
        <f>IF(M196&lt;&gt;"","Mar","")</f>
        <v>Mar</v>
      </c>
      <c r="N195" s="100" t="str">
        <f>IF(N196&lt;&gt;"","Mer","")</f>
        <v>Mer</v>
      </c>
      <c r="O195" s="100" t="str">
        <f>IF(O196&lt;&gt;"","Jeu","")</f>
        <v>Jeu</v>
      </c>
      <c r="P195" s="100" t="str">
        <f>IF(P196&lt;&gt;"","Ven","")</f>
        <v>Ven</v>
      </c>
      <c r="Q195" s="100" t="str">
        <f>IF(Q196&lt;&gt;"","Sam","")</f>
        <v>Sam</v>
      </c>
      <c r="R195" s="100" t="str">
        <f>IF(R196&lt;&gt;"","Dim","")</f>
        <v>Dim</v>
      </c>
      <c r="S195" s="113" t="s">
        <v>25</v>
      </c>
      <c r="T195" s="54" t="str">
        <f>IF(U195="",LEFT(K195)&amp;MOD(RIGHT(K195),5),LEFT(K195)&amp;MOD(RIGHT(K195),4)+1)</f>
        <v>c1</v>
      </c>
      <c r="U195" s="100" t="str">
        <f>IF(U196&lt;&gt;"","Lun","")</f>
        <v>Lun</v>
      </c>
      <c r="V195" s="100" t="str">
        <f>IF(V196&lt;&gt;"","Mar","")</f>
        <v>Mar</v>
      </c>
      <c r="W195" s="100" t="str">
        <f>IF(W196&lt;&gt;"","Mer","")</f>
        <v>Mer</v>
      </c>
      <c r="X195" s="100" t="str">
        <f>IF(X196&lt;&gt;"","Jeu","")</f>
        <v>Jeu</v>
      </c>
      <c r="Y195" s="100" t="str">
        <f>IF(Y196&lt;&gt;"","Ven","")</f>
        <v>Ven</v>
      </c>
      <c r="Z195" s="100" t="str">
        <f>IF(Z196&lt;&gt;"","Sam","")</f>
        <v>Sam</v>
      </c>
      <c r="AA195" s="100" t="str">
        <f>IF(AA196&lt;&gt;"","Dim","")</f>
        <v>Dim</v>
      </c>
      <c r="AB195" s="113" t="s">
        <v>25</v>
      </c>
      <c r="AC195" s="54" t="str">
        <f>IF(AD195="",LEFT(T195)&amp;MOD(RIGHT(T195),5),LEFT(T195)&amp;MOD(RIGHT(T195),4)+1)</f>
        <v>c2</v>
      </c>
      <c r="AD195" s="100" t="str">
        <f>IF(AD196&lt;&gt;"","Lun","")</f>
        <v>Lun</v>
      </c>
      <c r="AE195" s="100" t="str">
        <f>IF(AE196&lt;&gt;"","Mar","")</f>
        <v>Mar</v>
      </c>
      <c r="AF195" s="100" t="str">
        <f>IF(AF196&lt;&gt;"","Mer","")</f>
        <v>Mer</v>
      </c>
      <c r="AG195" s="100" t="str">
        <f>IF(AG196&lt;&gt;"","Jeu","")</f>
        <v>Jeu</v>
      </c>
      <c r="AH195" s="100" t="str">
        <f>IF(AH196&lt;&gt;"","Ven","")</f>
        <v>Ven</v>
      </c>
      <c r="AI195" s="100" t="str">
        <f>IF(AI196&lt;&gt;"","Sam","")</f>
        <v>Sam</v>
      </c>
      <c r="AJ195" s="100" t="str">
        <f>IF(AJ196&lt;&gt;"","Dim","")</f>
        <v>Dim</v>
      </c>
      <c r="AK195" s="113" t="s">
        <v>25</v>
      </c>
      <c r="AL195" s="54" t="str">
        <f>IF(AM195="",LEFT(AC195)&amp;MOD(RIGHT(AC195),5),LEFT(AC195)&amp;MOD(RIGHT(AC195),4)+1)</f>
        <v>c3</v>
      </c>
      <c r="AM195" s="100" t="str">
        <f>IF(AM196&lt;&gt;"","Lun","")</f>
        <v>Lun</v>
      </c>
      <c r="AN195" s="100" t="str">
        <f>IF(AN196&lt;&gt;"","Mar","")</f>
        <v>Mar</v>
      </c>
      <c r="AO195" s="100" t="str">
        <f>IF(AO196&lt;&gt;"","Mer","")</f>
        <v>Mer</v>
      </c>
      <c r="AP195" s="100" t="str">
        <f>IF(AP196&lt;&gt;"","Jeu","")</f>
        <v>Jeu</v>
      </c>
      <c r="AQ195" s="100" t="str">
        <f>IF(AQ196&lt;&gt;"","Ven","")</f>
        <v>Ven</v>
      </c>
      <c r="AR195" s="100" t="str">
        <f>IF(AR196&lt;&gt;"","Sam","")</f>
        <v/>
      </c>
      <c r="AS195" s="100" t="str">
        <f>IF(AS196&lt;&gt;"","Dim","")</f>
        <v/>
      </c>
      <c r="AT195" s="113" t="s">
        <v>25</v>
      </c>
      <c r="AU195" s="54" t="str">
        <f>IF(AV195="",LEFT(AL195)&amp;MOD(RIGHT(AL195),5),LEFT(AL195)&amp;MOD(RIGHT(AL195),4)+1)</f>
        <v>c3</v>
      </c>
      <c r="AV195" s="52" t="str">
        <f>IF(AV196&lt;&gt;"","Lun","")</f>
        <v/>
      </c>
      <c r="AW195" s="52" t="str">
        <f>IF(AW196&lt;&gt;"","Mar","")</f>
        <v/>
      </c>
      <c r="AX195" s="113" t="s">
        <v>25</v>
      </c>
      <c r="AY195" s="113" t="s">
        <v>28</v>
      </c>
      <c r="AZ195" s="114">
        <f>AY202+AY203+AY204</f>
        <v>0</v>
      </c>
      <c r="BA195" s="114">
        <f>AZ195+BA176</f>
        <v>0</v>
      </c>
      <c r="BB195" s="38"/>
      <c r="BC195" s="38"/>
      <c r="BD195" s="38"/>
      <c r="BE195" s="38"/>
      <c r="BF195" s="33"/>
    </row>
    <row r="196" spans="1:59" s="24" customFormat="1" ht="15" customHeight="1">
      <c r="A196" s="10"/>
      <c r="B196" s="53"/>
      <c r="C196" s="85" t="str">
        <f>IF(DAY(Nov_Dim1)=1,"",IF(AND(YEAR(Nov_Dim1+1)=Année_Calendaire,MONTH(Nov_Dim1+1)=11),Nov_Dim1+1,""))</f>
        <v/>
      </c>
      <c r="D196" s="87" t="str">
        <f>IF(DAY(Nov_Dim1)=1,"",IF(AND(YEAR(Nov_Dim1+2)=Année_Calendaire,MONTH(Nov_Dim1+2)=11),Nov_Dim1+2,""))</f>
        <v/>
      </c>
      <c r="E196" s="85" t="str">
        <f>IF(DAY(Nov_Dim1)=1,"",IF(AND(YEAR(Nov_Dim1+3)=Année_Calendaire,MONTH(Nov_Dim1+3)=11),Nov_Dim1+3,""))</f>
        <v/>
      </c>
      <c r="F196" s="85">
        <f>IF(DAY(Nov_Dim1)=1,"",IF(AND(YEAR(Nov_Dim1+4)=Année_Calendaire,MONTH(Nov_Dim1+4)=11),Nov_Dim1+4,""))</f>
        <v>43405</v>
      </c>
      <c r="G196" s="85">
        <f>IF(DAY(Nov_Dim1)=1,"",IF(AND(YEAR(Nov_Dim1+5)=Année_Calendaire,MONTH(Nov_Dim1+5)=11),Nov_Dim1+5,""))</f>
        <v>43406</v>
      </c>
      <c r="H196" s="85">
        <f>IF(DAY(Nov_Dim1)=1,"",IF(AND(YEAR(Nov_Dim1+6)=Année_Calendaire,MONTH(Nov_Dim1+6)=11),Nov_Dim1+6,""))</f>
        <v>43407</v>
      </c>
      <c r="I196" s="85">
        <f>IF(DAY(Nov_Dim1)=1,IF(AND(YEAR(Nov_Dim1)=Année_Calendaire,MONTH(Nov_Dim1)=11),Nov_Dim1,""),IF(AND(YEAR(Nov_Dim1+7)=Année_Calendaire,MONTH(Nov_Dim1+7)=11),Nov_Dim1+7,""))</f>
        <v>43408</v>
      </c>
      <c r="J196" s="113"/>
      <c r="K196" s="53"/>
      <c r="L196" s="85">
        <f>IF(DAY(Nov_Dim1)=1,IF(AND(YEAR(Nov_Dim1+1)=Année_Calendaire,MONTH(Nov_Dim1+1)=11),Nov_Dim1+1,""),IF(AND(YEAR(Nov_Dim1+8)=Année_Calendaire,MONTH(Nov_Dim1+8)=11),Nov_Dim1+8,""))</f>
        <v>43409</v>
      </c>
      <c r="M196" s="85">
        <f>IF(DAY(Nov_Dim1)=1,IF(AND(YEAR(Nov_Dim1+2)=Année_Calendaire,MONTH(Nov_Dim1+2)=11),Nov_Dim1+2,""),IF(AND(YEAR(Nov_Dim1+9)=Année_Calendaire,MONTH(Nov_Dim1+9)=11),Nov_Dim1+9,""))</f>
        <v>43410</v>
      </c>
      <c r="N196" s="85">
        <f>IF(DAY(Nov_Dim1)=1,IF(AND(YEAR(Nov_Dim1+3)=Année_Calendaire,MONTH(Nov_Dim1+3)=11),Nov_Dim1+3,""),IF(AND(YEAR(Nov_Dim1+10)=Année_Calendaire,MONTH(Nov_Dim1+10)=11),Nov_Dim1+10,""))</f>
        <v>43411</v>
      </c>
      <c r="O196" s="85">
        <f>IF(DAY(Nov_Dim1)=1,IF(AND(YEAR(Nov_Dim1+4)=Année_Calendaire,MONTH(Nov_Dim1+4)=11),Nov_Dim1+4,""),IF(AND(YEAR(Nov_Dim1+11)=Année_Calendaire,MONTH(Nov_Dim1+11)=11),Nov_Dim1+11,""))</f>
        <v>43412</v>
      </c>
      <c r="P196" s="87">
        <f>IF(DAY(Nov_Dim1)=1,IF(AND(YEAR(Nov_Dim1+5)=Année_Calendaire,MONTH(Nov_Dim1+5)=11),Nov_Dim1+5,""),IF(AND(YEAR(Nov_Dim1+12)=Année_Calendaire,MONTH(Nov_Dim1+12)=11),Nov_Dim1+12,""))</f>
        <v>43413</v>
      </c>
      <c r="Q196" s="85">
        <f>IF(DAY(Nov_Dim1)=1,IF(AND(YEAR(Nov_Dim1+6)=Année_Calendaire,MONTH(Nov_Dim1+6)=11),Nov_Dim1+6,""),IF(AND(YEAR(Nov_Dim1+13)=Année_Calendaire,MONTH(Nov_Dim1+13)=11),Nov_Dim1+13,""))</f>
        <v>43414</v>
      </c>
      <c r="R196" s="85">
        <f>IF(DAY(Nov_Dim1)=1,IF(AND(YEAR(Nov_Dim1+7)=Année_Calendaire,MONTH(Nov_Dim1+7)=11),Nov_Dim1+7,""),IF(AND(YEAR(Nov_Dim1+14)=Année_Calendaire,MONTH(Nov_Dim1+14)=11),Nov_Dim1+14,""))</f>
        <v>43415</v>
      </c>
      <c r="S196" s="113"/>
      <c r="T196" s="53"/>
      <c r="U196" s="85">
        <f>IF(DAY(Nov_Dim1)=1,IF(AND(YEAR(Nov_Dim1+8)=Année_Calendaire,MONTH(Nov_Dim1+8)=11),Nov_Dim1+8,""),IF(AND(YEAR(Nov_Dim1+15)=Année_Calendaire,MONTH(Nov_Dim1+15)=11),Nov_Dim1+15,""))</f>
        <v>43416</v>
      </c>
      <c r="V196" s="85">
        <f>IF(DAY(Nov_Dim1)=1,IF(AND(YEAR(Nov_Dim1+9)=Année_Calendaire,MONTH(Nov_Dim1+9)=11),Nov_Dim1+9,""),IF(AND(YEAR(Nov_Dim1+16)=Année_Calendaire,MONTH(Nov_Dim1+16)=11),Nov_Dim1+16,""))</f>
        <v>43417</v>
      </c>
      <c r="W196" s="85">
        <f>IF(DAY(Nov_Dim1)=1,IF(AND(YEAR(Nov_Dim1+10)=Année_Calendaire,MONTH(Nov_Dim1+10)=11),Nov_Dim1+10,""),IF(AND(YEAR(Nov_Dim1+17)=Année_Calendaire,MONTH(Nov_Dim1+17)=11),Nov_Dim1+17,""))</f>
        <v>43418</v>
      </c>
      <c r="X196" s="85">
        <f>IF(DAY(Nov_Dim1)=1,IF(AND(YEAR(Nov_Dim1+11)=Année_Calendaire,MONTH(Nov_Dim1+11)=11),Nov_Dim1+11,""),IF(AND(YEAR(Nov_Dim1+18)=Année_Calendaire,MONTH(Nov_Dim1+18)=11),Nov_Dim1+18,""))</f>
        <v>43419</v>
      </c>
      <c r="Y196" s="85">
        <f>IF(DAY(Nov_Dim1)=1,IF(AND(YEAR(Nov_Dim1+12)=Année_Calendaire,MONTH(Nov_Dim1+12)=11),Nov_Dim1+12,""),IF(AND(YEAR(Nov_Dim1+19)=Année_Calendaire,MONTH(Nov_Dim1+19)=11),Nov_Dim1+19,""))</f>
        <v>43420</v>
      </c>
      <c r="Z196" s="85">
        <f>IF(DAY(Nov_Dim1)=1,IF(AND(YEAR(Nov_Dim1+13)=Année_Calendaire,MONTH(Nov_Dim1+13)=11),Nov_Dim1+13,""),IF(AND(YEAR(Nov_Dim1+20)=Année_Calendaire,MONTH(Nov_Dim1+20)=11),Nov_Dim1+20,""))</f>
        <v>43421</v>
      </c>
      <c r="AA196" s="85">
        <f>IF(DAY(Nov_Dim1)=1,IF(AND(YEAR(Nov_Dim1+14)=Année_Calendaire,MONTH(Nov_Dim1+14)=11),Nov_Dim1+14,""),IF(AND(YEAR(Nov_Dim1+21)=Année_Calendaire,MONTH(Nov_Dim1+21)=11),Nov_Dim1+21,""))</f>
        <v>43422</v>
      </c>
      <c r="AB196" s="113"/>
      <c r="AC196" s="53"/>
      <c r="AD196" s="85">
        <f>IF(DAY(Nov_Dim1)=1,IF(AND(YEAR(Nov_Dim1+15)=Année_Calendaire,MONTH(Nov_Dim1+15)=11),Nov_Dim1+15,""),IF(AND(YEAR(Nov_Dim1+22)=Année_Calendaire,MONTH(Nov_Dim1+22)=11),Nov_Dim1+22,""))</f>
        <v>43423</v>
      </c>
      <c r="AE196" s="85">
        <f>IF(DAY(Nov_Dim1)=1,IF(AND(YEAR(Nov_Dim1+16)=Année_Calendaire,MONTH(Nov_Dim1+16)=11),Nov_Dim1+16,""),IF(AND(YEAR(Nov_Dim1+23)=Année_Calendaire,MONTH(Nov_Dim1+23)=11),Nov_Dim1+23,""))</f>
        <v>43424</v>
      </c>
      <c r="AF196" s="85">
        <f>IF(DAY(Nov_Dim1)=1,IF(AND(YEAR(Nov_Dim1+17)=Année_Calendaire,MONTH(Nov_Dim1+17)=11),Nov_Dim1+17,""),IF(AND(YEAR(Nov_Dim1+24)=Année_Calendaire,MONTH(Nov_Dim1+24)=11),Nov_Dim1+24,""))</f>
        <v>43425</v>
      </c>
      <c r="AG196" s="85">
        <f>IF(DAY(Nov_Dim1)=1,IF(AND(YEAR(Nov_Dim1+18)=Année_Calendaire,MONTH(Nov_Dim1+18)=11),Nov_Dim1+18,""),IF(AND(YEAR(Nov_Dim1+25)=Année_Calendaire,MONTH(Nov_Dim1+25)=11),Nov_Dim1+25,""))</f>
        <v>43426</v>
      </c>
      <c r="AH196" s="85">
        <f>IF(DAY(Nov_Dim1)=1,IF(AND(YEAR(Nov_Dim1+19)=Année_Calendaire,MONTH(Nov_Dim1+19)=11),Nov_Dim1+19,""),IF(AND(YEAR(Nov_Dim1+26)=Année_Calendaire,MONTH(Nov_Dim1+26)=11),Nov_Dim1+26,""))</f>
        <v>43427</v>
      </c>
      <c r="AI196" s="85">
        <f>IF(DAY(Nov_Dim1)=1,IF(AND(YEAR(Nov_Dim1+20)=Année_Calendaire,MONTH(Nov_Dim1+20)=11),Nov_Dim1+20,""),IF(AND(YEAR(Nov_Dim1+27)=Année_Calendaire,MONTH(Nov_Dim1+27)=11),Nov_Dim1+27,""))</f>
        <v>43428</v>
      </c>
      <c r="AJ196" s="85">
        <f>IF(DAY(Nov_Dim1)=1,IF(AND(YEAR(Nov_Dim1+21)=Année_Calendaire,MONTH(Nov_Dim1+21)=11),Nov_Dim1+21,""),IF(AND(YEAR(Nov_Dim1+28)=Année_Calendaire,MONTH(Nov_Dim1+28)=11),Nov_Dim1+28,""))</f>
        <v>43429</v>
      </c>
      <c r="AK196" s="113"/>
      <c r="AL196" s="53"/>
      <c r="AM196" s="85">
        <f>IF(DAY(Nov_Dim1)=1,IF(AND(YEAR(Nov_Dim1+22)=Année_Calendaire,MONTH(Nov_Dim1+22)=11),Nov_Dim1+22,""),IF(AND(YEAR(Nov_Dim1+29)=Année_Calendaire,MONTH(Nov_Dim1+29)=11),Nov_Dim1+29,""))</f>
        <v>43430</v>
      </c>
      <c r="AN196" s="85">
        <f>IF(DAY(Nov_Dim1)=1,IF(AND(YEAR(Nov_Dim1+23)=Année_Calendaire,MONTH(Nov_Dim1+23)=11),Nov_Dim1+23,""),IF(AND(YEAR(Nov_Dim1+30)=Année_Calendaire,MONTH(Nov_Dim1+30)=11),Nov_Dim1+30,""))</f>
        <v>43431</v>
      </c>
      <c r="AO196" s="85">
        <f>IF(DAY(Nov_Dim1)=1,IF(AND(YEAR(Nov_Dim1+24)=Année_Calendaire,MONTH(Nov_Dim1+24)=11),Nov_Dim1+24,""),IF(AND(YEAR(Nov_Dim1+31)=Année_Calendaire,MONTH(Nov_Dim1+31)=11),Nov_Dim1+31,""))</f>
        <v>43432</v>
      </c>
      <c r="AP196" s="85">
        <f>IF(DAY(Nov_Dim1)=1,IF(AND(YEAR(Nov_Dim1+25)=Année_Calendaire,MONTH(Nov_Dim1+25)=11),Nov_Dim1+25,""),IF(AND(YEAR(Nov_Dim1+32)=Année_Calendaire,MONTH(Nov_Dim1+32)=11),Nov_Dim1+32,""))</f>
        <v>43433</v>
      </c>
      <c r="AQ196" s="85">
        <f>IF(DAY(Nov_Dim1)=1,IF(AND(YEAR(Nov_Dim1+26)=Année_Calendaire,MONTH(Nov_Dim1+26)=11),Nov_Dim1+26,""),IF(AND(YEAR(Nov_Dim1+33)=Année_Calendaire,MONTH(Nov_Dim1+33)=11),Nov_Dim1+33,""))</f>
        <v>43434</v>
      </c>
      <c r="AR196" s="85" t="str">
        <f>IF(DAY(Nov_Dim1)=1,IF(AND(YEAR(Nov_Dim1+27)=Année_Calendaire,MONTH(Nov_Dim1+27)=11),Nov_Dim1+27,""),IF(AND(YEAR(Nov_Dim1+34)=Année_Calendaire,MONTH(Nov_Dim1+34)=11),Nov_Dim1+34,""))</f>
        <v/>
      </c>
      <c r="AS196" s="85" t="str">
        <f>IF(DAY(Nov_Dim1)=1,IF(AND(YEAR(Nov_Dim1+28)=Année_Calendaire,MONTH(Nov_Dim1+28)=11),Nov_Dim1+28,""),IF(AND(YEAR(Nov_Dim1+35)=Année_Calendaire,MONTH(Nov_Dim1+35)=11),Nov_Dim1+35,""))</f>
        <v/>
      </c>
      <c r="AT196" s="113"/>
      <c r="AU196" s="53"/>
      <c r="AV196" s="53" t="str">
        <f>IF(DAY(Nov_Dim1)=1,IF(AND(YEAR(Nov_Dim1+29)=Année_Calendaire,MONTH(Nov_Dim1+29)=11),Nov_Dim1+29,""),IF(AND(YEAR(Nov_Dim1+36)=Année_Calendaire,MONTH(Nov_Dim1+36)=11),Nov_Dim1+36,""))</f>
        <v/>
      </c>
      <c r="AW196" s="53" t="str">
        <f>IF(DAY(Nov_Dim1)=1,IF(AND(YEAR(Nov_Dim1+30)=Année_Calendaire,MONTH(Nov_Dim1+30)=11),Nov_Dim1+30,""),IF(AND(YEAR(Nov_Dim1+37)=Année_Calendaire,MONTH(Nov_Dim1+37)=11),Nov_Dim1+37,""))</f>
        <v/>
      </c>
      <c r="AX196" s="113"/>
      <c r="AY196" s="113"/>
      <c r="AZ196" s="114"/>
      <c r="BA196" s="114"/>
      <c r="BB196" s="31"/>
      <c r="BC196" s="31"/>
      <c r="BD196" s="31"/>
      <c r="BE196" s="31"/>
      <c r="BF196" s="23"/>
    </row>
    <row r="197" spans="1:59" s="5" customFormat="1" ht="15" customHeight="1">
      <c r="A197" s="47" t="s">
        <v>2</v>
      </c>
      <c r="B197" s="47"/>
      <c r="C197" s="48" t="str">
        <f>IF(C196="","",IFERROR(VLOOKUP(B195,DATA!$A$5:$H$9,2,TRUE),0))</f>
        <v/>
      </c>
      <c r="D197" s="48" t="str">
        <f>IF(D196="","",IFERROR(VLOOKUP(B195,DATA!$A$5:$H$9,3,TRUE),0))</f>
        <v/>
      </c>
      <c r="E197" s="48" t="str">
        <f>IF(E196="","",IFERROR(VLOOKUP(B195,DATA!$A$5:$H$9,4,TRUE),0))</f>
        <v/>
      </c>
      <c r="F197" s="48" t="str">
        <f>IF(F196="","",IFERROR(VLOOKUP(B195,DATA!$A$5:$H$9,5,TRUE),0))</f>
        <v>matin</v>
      </c>
      <c r="G197" s="48" t="str">
        <f>IF(G196="","",IFERROR(VLOOKUP(B195,DATA!$A$5:$H$9,6,TRUE),0))</f>
        <v>matin</v>
      </c>
      <c r="H197" s="48">
        <f>IF(H196="","",IFERROR(VLOOKUP(B195,DATA!$A$5:$H$9,7,TRUE),0))</f>
        <v>0</v>
      </c>
      <c r="I197" s="48">
        <f>IF(I196="","",IFERROR(VLOOKUP(B195,DATA!$A$5:$H$9,8,TRUE),0))</f>
        <v>0</v>
      </c>
      <c r="J197" s="51">
        <f>IF(B195="c1",24,IF((B195="c3"),24,40))</f>
        <v>24</v>
      </c>
      <c r="K197" s="47"/>
      <c r="L197" s="48" t="str">
        <f>IF(L196="","",IFERROR(VLOOKUP(K195,DATA!$A$5:$H$9,2,TRUE),0))</f>
        <v>am</v>
      </c>
      <c r="M197" s="48" t="str">
        <f>IF(M196="","",IFERROR(VLOOKUP(K195,DATA!$A$5:$H$9,3,TRUE),0))</f>
        <v>am</v>
      </c>
      <c r="N197" s="48" t="str">
        <f>IF(N196="","",IFERROR(VLOOKUP(K195,DATA!$A$5:$H$9,4,TRUE),0))</f>
        <v>am</v>
      </c>
      <c r="O197" s="48" t="str">
        <f>IF(O196="","",IFERROR(VLOOKUP(K195,DATA!$A$5:$H$9,5,TRUE),0))</f>
        <v>am</v>
      </c>
      <c r="P197" s="48" t="str">
        <f>IF(P196="","",IFERROR(VLOOKUP(K195,DATA!$A$5:$H$9,6,TRUE),0))</f>
        <v>am</v>
      </c>
      <c r="Q197" s="48">
        <f>IF(Q196="","",IFERROR(VLOOKUP(K195,DATA!$A$5:$H$9,7,TRUE),0))</f>
        <v>0</v>
      </c>
      <c r="R197" s="48">
        <f>IF(R196="","",IFERROR(VLOOKUP(K195,DATA!$A$5:$H$9,8,TRUE),0))</f>
        <v>0</v>
      </c>
      <c r="S197" s="51">
        <f>IF(K195="c1",24,IF((K195="c3"),24,40))</f>
        <v>40</v>
      </c>
      <c r="T197" s="47"/>
      <c r="U197" s="48" t="str">
        <f>IF(U196="","",IFERROR(VLOOKUP(T195,DATA!$A$5:$H$9,2,TRUE),0))</f>
        <v>matin</v>
      </c>
      <c r="V197" s="48" t="str">
        <f>IF(V196="","",IFERROR(VLOOKUP(T195,DATA!$A$5:$H$9,3,TRUE),0))</f>
        <v>matin</v>
      </c>
      <c r="W197" s="48" t="str">
        <f>IF(W196="","",IFERROR(VLOOKUP(T195,DATA!$A$5:$H$9,4,TRUE),0))</f>
        <v>matin</v>
      </c>
      <c r="X197" s="48">
        <f>IF(X196="","",IFERROR(VLOOKUP(T195,DATA!$A$5:$H$9,5,TRUE),0))</f>
        <v>0</v>
      </c>
      <c r="Y197" s="48">
        <f>IF(Y196="","",IFERROR(VLOOKUP(T195,DATA!$A$5:$H$9,6,TRUE),0))</f>
        <v>0</v>
      </c>
      <c r="Z197" s="48">
        <f>IF(Z196="","",IFERROR(VLOOKUP(T195,DATA!$A$5:$H$9,7,TRUE),0))</f>
        <v>0</v>
      </c>
      <c r="AA197" s="48">
        <f>IF(AA196="","",IFERROR(VLOOKUP(T195,DATA!$A$5:$H$9,8,TRUE),0))</f>
        <v>0</v>
      </c>
      <c r="AB197" s="51">
        <f>IF(T195="c1",24,IF((T195="c3"),24,40))</f>
        <v>24</v>
      </c>
      <c r="AC197" s="47"/>
      <c r="AD197" s="48" t="str">
        <f>IF(AD196="","",IFERROR(VLOOKUP(AC195,DATA!$A$5:$H$9,2,TRUE),0))</f>
        <v>nuit</v>
      </c>
      <c r="AE197" s="48" t="str">
        <f>IF(AE196="","",IFERROR(VLOOKUP(AC195,DATA!$A$5:$H$9,3,TRUE),0))</f>
        <v>nuit</v>
      </c>
      <c r="AF197" s="48" t="str">
        <f>IF(AF196="","",IFERROR(VLOOKUP(AC195,DATA!$A$5:$H$9,4,TRUE),0))</f>
        <v>nuit</v>
      </c>
      <c r="AG197" s="48" t="str">
        <f>IF(AG196="","",IFERROR(VLOOKUP(AC195,DATA!$A$5:$H$9,5,TRUE),0))</f>
        <v>nuit</v>
      </c>
      <c r="AH197" s="48" t="str">
        <f>IF(AH196="","",IFERROR(VLOOKUP(AC195,DATA!$A$5:$H$9,6,TRUE),0))</f>
        <v>nuit</v>
      </c>
      <c r="AI197" s="48">
        <f>IF(AI196="","",IFERROR(VLOOKUP(AC195,DATA!$A$5:$H$9,7,TRUE),0))</f>
        <v>0</v>
      </c>
      <c r="AJ197" s="48">
        <f>IF(AJ196="","",IFERROR(VLOOKUP(AC195,DATA!$A$5:$H$9,8,TRUE),0))</f>
        <v>0</v>
      </c>
      <c r="AK197" s="51">
        <f>IF(AC195="c1",24,IF((AC195="c3"),24,40))</f>
        <v>40</v>
      </c>
      <c r="AL197" s="47"/>
      <c r="AM197" s="48" t="str">
        <f>IF(AM196="","",IFERROR(VLOOKUP(AL195,DATA!$A$5:$H$9,2,TRUE),0))</f>
        <v>matin</v>
      </c>
      <c r="AN197" s="48">
        <f>IF(AN196="","",IFERROR(VLOOKUP(AL195,DATA!$A$5:$H$9,3,TRUE),0))</f>
        <v>0</v>
      </c>
      <c r="AO197" s="48">
        <f>IF(AO196="","",IFERROR(VLOOKUP(AL195,DATA!$A$5:$H$9,4,TRUE),0))</f>
        <v>0</v>
      </c>
      <c r="AP197" s="48" t="str">
        <f>IF(AP196="","",IFERROR(VLOOKUP(AL195,DATA!$A$5:$H$9,5,TRUE),0))</f>
        <v>matin</v>
      </c>
      <c r="AQ197" s="48" t="str">
        <f>IF(AQ196="","",IFERROR(VLOOKUP(AL195,DATA!$A$5:$H$9,6,TRUE),0))</f>
        <v>matin</v>
      </c>
      <c r="AR197" s="48" t="str">
        <f>IF(AR196="","",IFERROR(VLOOKUP(AL195,DATA!$A$5:$H$9,7,TRUE),0))</f>
        <v/>
      </c>
      <c r="AS197" s="48" t="str">
        <f>IF(AS196="","",IFERROR(VLOOKUP(AL195,DATA!$A$5:$H$9,8,TRUE),0))</f>
        <v/>
      </c>
      <c r="AT197" s="51">
        <f>IF(AL195="c1",24,IF((AL195="c3"),24,40))</f>
        <v>24</v>
      </c>
      <c r="AU197" s="47"/>
      <c r="AV197" s="48" t="str">
        <f>IF(AV196="","",IFERROR(VLOOKUP(AU195,DATA!$A$5:$H$9,2,TRUE),0))</f>
        <v/>
      </c>
      <c r="AW197" s="48" t="str">
        <f>IF(AW196="","",IFERROR(VLOOKUP(AU195,DATA!$A$5:$H$9,3,TRUE),0))</f>
        <v/>
      </c>
      <c r="AX197" s="51">
        <f>IF(AP195="c1",24,IF((AP195="c3"),24,40))</f>
        <v>40</v>
      </c>
      <c r="AY197" s="49"/>
      <c r="AZ197" s="39"/>
      <c r="BA197" s="39"/>
      <c r="BB197" s="39"/>
      <c r="BC197" s="39"/>
      <c r="BD197" s="39"/>
      <c r="BE197" s="39"/>
      <c r="BF197" s="29"/>
    </row>
    <row r="198" spans="1:59" s="27" customFormat="1" ht="15" customHeight="1">
      <c r="A198" s="50" t="s">
        <v>12</v>
      </c>
      <c r="B198" s="50"/>
      <c r="C198" s="51">
        <f t="shared" ref="C198:I198" si="432">IF(C197="Matin",1,IF(C197="AM",1,0))</f>
        <v>0</v>
      </c>
      <c r="D198" s="51">
        <f t="shared" si="432"/>
        <v>0</v>
      </c>
      <c r="E198" s="51">
        <f t="shared" si="432"/>
        <v>0</v>
      </c>
      <c r="F198" s="51">
        <f t="shared" si="432"/>
        <v>1</v>
      </c>
      <c r="G198" s="51">
        <f t="shared" si="432"/>
        <v>1</v>
      </c>
      <c r="H198" s="51">
        <f t="shared" si="432"/>
        <v>0</v>
      </c>
      <c r="I198" s="51">
        <f t="shared" si="432"/>
        <v>0</v>
      </c>
      <c r="J198" s="51">
        <f>SUM(C198:I198)</f>
        <v>2</v>
      </c>
      <c r="K198" s="50"/>
      <c r="L198" s="51">
        <f t="shared" ref="L198:R198" si="433">IF(L197="Matin",1,IF(L197="AM",1,0))</f>
        <v>1</v>
      </c>
      <c r="M198" s="51">
        <f t="shared" si="433"/>
        <v>1</v>
      </c>
      <c r="N198" s="51">
        <f t="shared" si="433"/>
        <v>1</v>
      </c>
      <c r="O198" s="51">
        <f t="shared" si="433"/>
        <v>1</v>
      </c>
      <c r="P198" s="51">
        <f t="shared" si="433"/>
        <v>1</v>
      </c>
      <c r="Q198" s="51">
        <f t="shared" si="433"/>
        <v>0</v>
      </c>
      <c r="R198" s="51">
        <f t="shared" si="433"/>
        <v>0</v>
      </c>
      <c r="S198" s="51">
        <f>SUM(L198:R198)</f>
        <v>5</v>
      </c>
      <c r="T198" s="50"/>
      <c r="U198" s="51">
        <f t="shared" ref="U198:AA198" si="434">IF(U197="Matin",1,IF(U197="AM",1,0))</f>
        <v>1</v>
      </c>
      <c r="V198" s="51">
        <f t="shared" si="434"/>
        <v>1</v>
      </c>
      <c r="W198" s="51">
        <f t="shared" si="434"/>
        <v>1</v>
      </c>
      <c r="X198" s="51">
        <f t="shared" si="434"/>
        <v>0</v>
      </c>
      <c r="Y198" s="51">
        <f t="shared" si="434"/>
        <v>0</v>
      </c>
      <c r="Z198" s="51">
        <f t="shared" si="434"/>
        <v>0</v>
      </c>
      <c r="AA198" s="51">
        <f t="shared" si="434"/>
        <v>0</v>
      </c>
      <c r="AB198" s="51">
        <f>SUM(U198:AA198)</f>
        <v>3</v>
      </c>
      <c r="AC198" s="50"/>
      <c r="AD198" s="51">
        <f t="shared" ref="AD198:AJ198" si="435">IF(AD197="Matin",1,IF(AD197="AM",1,0))</f>
        <v>0</v>
      </c>
      <c r="AE198" s="51">
        <f t="shared" si="435"/>
        <v>0</v>
      </c>
      <c r="AF198" s="51">
        <f t="shared" si="435"/>
        <v>0</v>
      </c>
      <c r="AG198" s="51">
        <f t="shared" si="435"/>
        <v>0</v>
      </c>
      <c r="AH198" s="51">
        <f t="shared" si="435"/>
        <v>0</v>
      </c>
      <c r="AI198" s="51">
        <f t="shared" si="435"/>
        <v>0</v>
      </c>
      <c r="AJ198" s="51">
        <f t="shared" si="435"/>
        <v>0</v>
      </c>
      <c r="AK198" s="51">
        <f>SUM(AD198:AJ198)</f>
        <v>0</v>
      </c>
      <c r="AL198" s="50"/>
      <c r="AM198" s="51">
        <f t="shared" ref="AM198:AS198" si="436">IF(AM197="Matin",1,IF(AM197="AM",1,0))</f>
        <v>1</v>
      </c>
      <c r="AN198" s="51">
        <f t="shared" si="436"/>
        <v>0</v>
      </c>
      <c r="AO198" s="51">
        <f t="shared" si="436"/>
        <v>0</v>
      </c>
      <c r="AP198" s="51">
        <f t="shared" si="436"/>
        <v>1</v>
      </c>
      <c r="AQ198" s="51">
        <f t="shared" si="436"/>
        <v>1</v>
      </c>
      <c r="AR198" s="51">
        <f t="shared" si="436"/>
        <v>0</v>
      </c>
      <c r="AS198" s="51">
        <f t="shared" si="436"/>
        <v>0</v>
      </c>
      <c r="AT198" s="51">
        <f>SUM(AM198:AS198)</f>
        <v>3</v>
      </c>
      <c r="AU198" s="50"/>
      <c r="AV198" s="51">
        <f t="shared" ref="AV198:AW198" si="437">IF(AV197="Matin",1,IF(AV197="AM",1,0))</f>
        <v>0</v>
      </c>
      <c r="AW198" s="51">
        <f t="shared" si="437"/>
        <v>0</v>
      </c>
      <c r="AX198" s="51">
        <f>SUM(AV198:AW198)</f>
        <v>0</v>
      </c>
      <c r="AY198" s="51">
        <f>J198+S198+AB198+AK198+AT198+AX198</f>
        <v>13</v>
      </c>
      <c r="AZ198" s="25"/>
      <c r="BA198" s="25"/>
      <c r="BB198" s="25"/>
      <c r="BC198" s="25"/>
      <c r="BD198" s="25"/>
      <c r="BE198" s="25"/>
      <c r="BF198" s="25"/>
      <c r="BG198" s="28"/>
    </row>
    <row r="199" spans="1:59" s="27" customFormat="1" ht="15" customHeight="1">
      <c r="A199" s="47" t="s">
        <v>4</v>
      </c>
      <c r="B199" s="47"/>
      <c r="C199" s="48">
        <f>IF(C200&gt;=1,1,0)</f>
        <v>0</v>
      </c>
      <c r="D199" s="48">
        <f>IF(D200&gt;=1,1,0)</f>
        <v>0</v>
      </c>
      <c r="E199" s="48">
        <f t="shared" ref="E199:I199" si="438">IF(E200&gt;=1,1,0)</f>
        <v>0</v>
      </c>
      <c r="F199" s="48">
        <f t="shared" si="438"/>
        <v>1</v>
      </c>
      <c r="G199" s="48">
        <f t="shared" si="438"/>
        <v>1</v>
      </c>
      <c r="H199" s="48">
        <f t="shared" si="438"/>
        <v>0</v>
      </c>
      <c r="I199" s="48">
        <f t="shared" si="438"/>
        <v>0</v>
      </c>
      <c r="J199" s="51">
        <f t="shared" ref="J199:J204" si="439">SUM(C199:I199)</f>
        <v>2</v>
      </c>
      <c r="K199" s="47"/>
      <c r="L199" s="48">
        <f>IF(L200&gt;=1,1,0)</f>
        <v>1</v>
      </c>
      <c r="M199" s="48">
        <f t="shared" ref="M199:R199" si="440">IF(M200&gt;=1,1,0)</f>
        <v>1</v>
      </c>
      <c r="N199" s="48">
        <f t="shared" si="440"/>
        <v>1</v>
      </c>
      <c r="O199" s="48">
        <f t="shared" si="440"/>
        <v>1</v>
      </c>
      <c r="P199" s="48">
        <f t="shared" si="440"/>
        <v>1</v>
      </c>
      <c r="Q199" s="48">
        <f t="shared" si="440"/>
        <v>0</v>
      </c>
      <c r="R199" s="48">
        <f t="shared" si="440"/>
        <v>0</v>
      </c>
      <c r="S199" s="51">
        <f t="shared" ref="S199:S204" si="441">SUM(L199:R199)</f>
        <v>5</v>
      </c>
      <c r="T199" s="47"/>
      <c r="U199" s="48">
        <f>IF(U200&gt;=1,1,0)</f>
        <v>1</v>
      </c>
      <c r="V199" s="48">
        <f t="shared" ref="V199:AA199" si="442">IF(V200&gt;=1,1,0)</f>
        <v>1</v>
      </c>
      <c r="W199" s="48">
        <f t="shared" si="442"/>
        <v>1</v>
      </c>
      <c r="X199" s="48">
        <f t="shared" si="442"/>
        <v>0</v>
      </c>
      <c r="Y199" s="48">
        <f t="shared" si="442"/>
        <v>0</v>
      </c>
      <c r="Z199" s="48">
        <f t="shared" si="442"/>
        <v>0</v>
      </c>
      <c r="AA199" s="48">
        <f t="shared" si="442"/>
        <v>0</v>
      </c>
      <c r="AB199" s="51">
        <f t="shared" ref="AB199:AB204" si="443">SUM(U199:AA199)</f>
        <v>3</v>
      </c>
      <c r="AC199" s="47"/>
      <c r="AD199" s="48">
        <f>IF(AD200&gt;=1,1,0)</f>
        <v>1</v>
      </c>
      <c r="AE199" s="48">
        <f t="shared" ref="AE199:AJ199" si="444">IF(AE200&gt;=1,1,0)</f>
        <v>1</v>
      </c>
      <c r="AF199" s="48">
        <f t="shared" si="444"/>
        <v>1</v>
      </c>
      <c r="AG199" s="48">
        <f t="shared" si="444"/>
        <v>1</v>
      </c>
      <c r="AH199" s="48">
        <f t="shared" si="444"/>
        <v>1</v>
      </c>
      <c r="AI199" s="48">
        <f t="shared" si="444"/>
        <v>0</v>
      </c>
      <c r="AJ199" s="48">
        <f t="shared" si="444"/>
        <v>0</v>
      </c>
      <c r="AK199" s="51">
        <f t="shared" ref="AK199:AK204" si="445">SUM(AD199:AJ199)</f>
        <v>5</v>
      </c>
      <c r="AL199" s="47"/>
      <c r="AM199" s="48">
        <f>IF(AM200&gt;=1,1,0)</f>
        <v>1</v>
      </c>
      <c r="AN199" s="48">
        <f t="shared" ref="AN199:AS199" si="446">IF(AN200&gt;=1,1,0)</f>
        <v>0</v>
      </c>
      <c r="AO199" s="48">
        <f t="shared" si="446"/>
        <v>0</v>
      </c>
      <c r="AP199" s="48">
        <f t="shared" si="446"/>
        <v>1</v>
      </c>
      <c r="AQ199" s="48">
        <f t="shared" si="446"/>
        <v>1</v>
      </c>
      <c r="AR199" s="48">
        <f t="shared" si="446"/>
        <v>0</v>
      </c>
      <c r="AS199" s="48">
        <f t="shared" si="446"/>
        <v>0</v>
      </c>
      <c r="AT199" s="51">
        <f t="shared" ref="AT199:AT204" si="447">SUM(AM199:AS199)</f>
        <v>3</v>
      </c>
      <c r="AU199" s="47"/>
      <c r="AV199" s="48">
        <f>IF(AV200&gt;=1,1,0)</f>
        <v>0</v>
      </c>
      <c r="AW199" s="48">
        <f t="shared" ref="AW199" si="448">IF(AW200&gt;=1,1,0)</f>
        <v>0</v>
      </c>
      <c r="AX199" s="51">
        <f>SUM(AV199:AW199)</f>
        <v>0</v>
      </c>
      <c r="AY199" s="48">
        <f t="shared" ref="AY199:AY208" si="449">J199+S199+AB199+AK199+AT199+AX199</f>
        <v>18</v>
      </c>
      <c r="AZ199" s="39"/>
      <c r="BA199" s="39"/>
      <c r="BB199" s="39"/>
      <c r="BC199" s="39"/>
      <c r="BD199" s="39"/>
      <c r="BE199" s="39"/>
      <c r="BF199" s="29"/>
    </row>
    <row r="200" spans="1:59" s="27" customFormat="1" ht="15" customHeight="1">
      <c r="A200" s="50" t="s">
        <v>3</v>
      </c>
      <c r="B200" s="50"/>
      <c r="C200" s="51">
        <f>IF(C197="Matin",8,IF(C197="AM",8,IF(C197="nuit",8,0)))</f>
        <v>0</v>
      </c>
      <c r="D200" s="51">
        <f t="shared" ref="D200:I200" si="450">IF(D197="Matin",8,IF(D197="AM",8,IF(D197="nuit",8,0)))</f>
        <v>0</v>
      </c>
      <c r="E200" s="51">
        <f t="shared" si="450"/>
        <v>0</v>
      </c>
      <c r="F200" s="51">
        <f t="shared" si="450"/>
        <v>8</v>
      </c>
      <c r="G200" s="51">
        <f t="shared" si="450"/>
        <v>8</v>
      </c>
      <c r="H200" s="51">
        <f t="shared" si="450"/>
        <v>0</v>
      </c>
      <c r="I200" s="51">
        <f t="shared" si="450"/>
        <v>0</v>
      </c>
      <c r="J200" s="51">
        <f t="shared" si="439"/>
        <v>16</v>
      </c>
      <c r="K200" s="50"/>
      <c r="L200" s="51">
        <f>IF(L197="Matin",8,IF(L197="AM",8,IF(L197="nuit",8,0)))</f>
        <v>8</v>
      </c>
      <c r="M200" s="51">
        <f t="shared" ref="M200:R200" si="451">IF(M197="Matin",8,IF(M197="AM",8,IF(M197="nuit",8,0)))</f>
        <v>8</v>
      </c>
      <c r="N200" s="51">
        <f t="shared" si="451"/>
        <v>8</v>
      </c>
      <c r="O200" s="51">
        <f t="shared" si="451"/>
        <v>8</v>
      </c>
      <c r="P200" s="51">
        <f t="shared" si="451"/>
        <v>8</v>
      </c>
      <c r="Q200" s="51">
        <f t="shared" si="451"/>
        <v>0</v>
      </c>
      <c r="R200" s="51">
        <f t="shared" si="451"/>
        <v>0</v>
      </c>
      <c r="S200" s="51">
        <f t="shared" si="441"/>
        <v>40</v>
      </c>
      <c r="T200" s="50"/>
      <c r="U200" s="51">
        <f>IF(U197="Matin",8,IF(U197="AM",8,IF(U197="nuit",8,0)))</f>
        <v>8</v>
      </c>
      <c r="V200" s="51">
        <f t="shared" ref="V200:AA200" si="452">IF(V197="Matin",8,IF(V197="AM",8,IF(V197="nuit",8,0)))</f>
        <v>8</v>
      </c>
      <c r="W200" s="51">
        <f t="shared" si="452"/>
        <v>8</v>
      </c>
      <c r="X200" s="51">
        <f t="shared" si="452"/>
        <v>0</v>
      </c>
      <c r="Y200" s="51">
        <f t="shared" si="452"/>
        <v>0</v>
      </c>
      <c r="Z200" s="51">
        <f t="shared" si="452"/>
        <v>0</v>
      </c>
      <c r="AA200" s="51">
        <f t="shared" si="452"/>
        <v>0</v>
      </c>
      <c r="AB200" s="51">
        <f t="shared" si="443"/>
        <v>24</v>
      </c>
      <c r="AC200" s="50"/>
      <c r="AD200" s="51">
        <f>IF(AD197="Matin",8,IF(AD197="AM",8,IF(AD197="nuit",8,0)))</f>
        <v>8</v>
      </c>
      <c r="AE200" s="51">
        <f t="shared" ref="AE200:AJ200" si="453">IF(AE197="Matin",8,IF(AE197="AM",8,IF(AE197="nuit",8,0)))</f>
        <v>8</v>
      </c>
      <c r="AF200" s="51">
        <f t="shared" si="453"/>
        <v>8</v>
      </c>
      <c r="AG200" s="51">
        <f t="shared" si="453"/>
        <v>8</v>
      </c>
      <c r="AH200" s="51">
        <f t="shared" si="453"/>
        <v>8</v>
      </c>
      <c r="AI200" s="51">
        <f t="shared" si="453"/>
        <v>0</v>
      </c>
      <c r="AJ200" s="51">
        <f t="shared" si="453"/>
        <v>0</v>
      </c>
      <c r="AK200" s="51">
        <f t="shared" si="445"/>
        <v>40</v>
      </c>
      <c r="AL200" s="50"/>
      <c r="AM200" s="51">
        <f>IF(AM197="Matin",8,IF(AM197="AM",8,IF(AM197="nuit",8,0)))</f>
        <v>8</v>
      </c>
      <c r="AN200" s="51">
        <f t="shared" ref="AN200:AS200" si="454">IF(AN197="Matin",8,IF(AN197="AM",8,IF(AN197="nuit",8,0)))</f>
        <v>0</v>
      </c>
      <c r="AO200" s="51">
        <f t="shared" si="454"/>
        <v>0</v>
      </c>
      <c r="AP200" s="51">
        <f t="shared" si="454"/>
        <v>8</v>
      </c>
      <c r="AQ200" s="51">
        <f t="shared" si="454"/>
        <v>8</v>
      </c>
      <c r="AR200" s="51">
        <f t="shared" si="454"/>
        <v>0</v>
      </c>
      <c r="AS200" s="51">
        <f t="shared" si="454"/>
        <v>0</v>
      </c>
      <c r="AT200" s="51">
        <f t="shared" si="447"/>
        <v>24</v>
      </c>
      <c r="AU200" s="50"/>
      <c r="AV200" s="51">
        <f>IF(AV197="Matin",8,IF(AV197="AM",8,IF(AV197="nuit",8,0)))</f>
        <v>0</v>
      </c>
      <c r="AW200" s="51">
        <f t="shared" ref="AW200" si="455">IF(AW197="Matin",8,IF(AW197="AM",8,IF(AW197="nuit",8,0)))</f>
        <v>0</v>
      </c>
      <c r="AX200" s="51">
        <f>SUM(AV200:AW200)</f>
        <v>0</v>
      </c>
      <c r="AY200" s="51">
        <f t="shared" si="449"/>
        <v>144</v>
      </c>
      <c r="AZ200" s="25"/>
      <c r="BA200" s="25"/>
      <c r="BB200" s="25"/>
      <c r="BC200" s="25"/>
      <c r="BD200" s="25"/>
      <c r="BE200" s="25"/>
      <c r="BF200" s="25"/>
      <c r="BG200" s="28"/>
    </row>
    <row r="201" spans="1:59" s="5" customFormat="1" ht="15" customHeight="1">
      <c r="A201" s="47" t="s">
        <v>13</v>
      </c>
      <c r="B201" s="47"/>
      <c r="C201" s="48"/>
      <c r="D201" s="48"/>
      <c r="E201" s="48"/>
      <c r="F201" s="48"/>
      <c r="G201" s="48"/>
      <c r="H201" s="48"/>
      <c r="I201" s="48"/>
      <c r="J201" s="51">
        <f>MAX(MIN(DATA!$D$22-DATA!$C$22,Travail!J200-Travail!J197-I200),0)</f>
        <v>0</v>
      </c>
      <c r="K201" s="47"/>
      <c r="L201" s="48"/>
      <c r="M201" s="48"/>
      <c r="N201" s="48"/>
      <c r="O201" s="48"/>
      <c r="P201" s="48"/>
      <c r="Q201" s="48"/>
      <c r="R201" s="48"/>
      <c r="S201" s="51">
        <f>MAX(MIN(DATA!$D$22-DATA!$C$22,Travail!S200-Travail!S197-R200),0)</f>
        <v>0</v>
      </c>
      <c r="T201" s="47"/>
      <c r="U201" s="48"/>
      <c r="V201" s="48"/>
      <c r="W201" s="48"/>
      <c r="X201" s="48"/>
      <c r="Y201" s="48"/>
      <c r="Z201" s="48"/>
      <c r="AA201" s="48"/>
      <c r="AB201" s="51">
        <f>MAX(MIN(DATA!$D$22-DATA!$C$22,Travail!AB200-Travail!AB197-AA200),0)</f>
        <v>0</v>
      </c>
      <c r="AC201" s="47"/>
      <c r="AD201" s="48"/>
      <c r="AE201" s="48"/>
      <c r="AF201" s="48"/>
      <c r="AG201" s="48"/>
      <c r="AH201" s="48"/>
      <c r="AI201" s="48"/>
      <c r="AJ201" s="48"/>
      <c r="AK201" s="51">
        <f>MAX(MIN(DATA!$D$22-DATA!$C$22,Travail!AK200-Travail!AK197-AJ200),0)</f>
        <v>0</v>
      </c>
      <c r="AL201" s="47"/>
      <c r="AM201" s="48"/>
      <c r="AN201" s="48"/>
      <c r="AO201" s="48"/>
      <c r="AP201" s="48"/>
      <c r="AQ201" s="48"/>
      <c r="AR201" s="48"/>
      <c r="AS201" s="48"/>
      <c r="AT201" s="51">
        <f>MAX(MIN(DATA!$D$22-DATA!$C$22,Travail!AT200-Travail!AT197-AS200),0)</f>
        <v>0</v>
      </c>
      <c r="AU201" s="47"/>
      <c r="AV201" s="48"/>
      <c r="AW201" s="48"/>
      <c r="AX201" s="51">
        <f>MAX(MIN(DATA!$D$22-DATA!$C$22,Travail!AX200-Travail!AX197),0)</f>
        <v>0</v>
      </c>
      <c r="AY201" s="49">
        <f t="shared" si="449"/>
        <v>0</v>
      </c>
      <c r="AZ201" s="39"/>
      <c r="BA201" s="39"/>
      <c r="BB201" s="39"/>
      <c r="BC201" s="39"/>
      <c r="BD201" s="39"/>
      <c r="BE201" s="39"/>
      <c r="BF201" s="29"/>
    </row>
    <row r="202" spans="1:59" s="27" customFormat="1" ht="15" customHeight="1">
      <c r="A202" s="50" t="s">
        <v>6</v>
      </c>
      <c r="B202" s="50"/>
      <c r="C202" s="51"/>
      <c r="D202" s="51"/>
      <c r="E202" s="51"/>
      <c r="F202" s="51"/>
      <c r="G202" s="51"/>
      <c r="H202" s="51"/>
      <c r="I202" s="51"/>
      <c r="J202" s="51">
        <f>MAX(MIN(DATA!$E$22-DATA!$D$22,Travail!J200-Travail!J197-Travail!J201-I200),0)</f>
        <v>0</v>
      </c>
      <c r="K202" s="50"/>
      <c r="L202" s="51"/>
      <c r="M202" s="51"/>
      <c r="N202" s="51"/>
      <c r="O202" s="51"/>
      <c r="P202" s="51"/>
      <c r="Q202" s="51"/>
      <c r="R202" s="51"/>
      <c r="S202" s="51">
        <f>MAX(MIN(DATA!$E$22-DATA!$D$22,Travail!S200-Travail!S197-Travail!S201-R200),0)</f>
        <v>0</v>
      </c>
      <c r="T202" s="50"/>
      <c r="U202" s="51"/>
      <c r="V202" s="51"/>
      <c r="W202" s="51"/>
      <c r="X202" s="51"/>
      <c r="Y202" s="51"/>
      <c r="Z202" s="51"/>
      <c r="AA202" s="51"/>
      <c r="AB202" s="51">
        <f>MAX(MIN(DATA!$E$22-DATA!$D$22,Travail!AB200-Travail!AB197-Travail!AB201-AA200),0)</f>
        <v>0</v>
      </c>
      <c r="AC202" s="50"/>
      <c r="AD202" s="51"/>
      <c r="AE202" s="51"/>
      <c r="AF202" s="51"/>
      <c r="AG202" s="51"/>
      <c r="AH202" s="51"/>
      <c r="AI202" s="51"/>
      <c r="AJ202" s="51"/>
      <c r="AK202" s="51">
        <f>MAX(MIN(DATA!$E$22-DATA!$D$22,Travail!AK200-Travail!AK197-Travail!AK201-AJ200),0)</f>
        <v>0</v>
      </c>
      <c r="AL202" s="50"/>
      <c r="AM202" s="51"/>
      <c r="AN202" s="51"/>
      <c r="AO202" s="51"/>
      <c r="AP202" s="51"/>
      <c r="AQ202" s="51"/>
      <c r="AR202" s="51"/>
      <c r="AS202" s="51"/>
      <c r="AT202" s="51">
        <f>MAX(MIN(DATA!$E$22-DATA!$D$22,Travail!AT200-Travail!AT197-Travail!AT201-AS200),0)</f>
        <v>0</v>
      </c>
      <c r="AU202" s="50"/>
      <c r="AV202" s="51"/>
      <c r="AW202" s="51"/>
      <c r="AX202" s="51">
        <f>MAX(MIN(DATA!$E$22-DATA!$D$22,Travail!AX200-Travail!AX197-Travail!AX201),0)</f>
        <v>0</v>
      </c>
      <c r="AY202" s="51">
        <f t="shared" si="449"/>
        <v>0</v>
      </c>
      <c r="AZ202" s="25"/>
      <c r="BA202" s="25"/>
      <c r="BB202" s="25"/>
      <c r="BC202" s="25"/>
      <c r="BD202" s="25"/>
      <c r="BE202" s="25"/>
      <c r="BF202" s="25"/>
      <c r="BG202" s="28"/>
    </row>
    <row r="203" spans="1:59" s="5" customFormat="1" ht="15" customHeight="1">
      <c r="A203" s="47" t="s">
        <v>5</v>
      </c>
      <c r="B203" s="47"/>
      <c r="C203" s="48"/>
      <c r="D203" s="48"/>
      <c r="E203" s="48"/>
      <c r="F203" s="48"/>
      <c r="G203" s="48"/>
      <c r="H203" s="48"/>
      <c r="I203" s="48"/>
      <c r="J203" s="51">
        <f>MAX(J200-J197-J202-J201-J204,0)</f>
        <v>0</v>
      </c>
      <c r="K203" s="47"/>
      <c r="L203" s="48"/>
      <c r="M203" s="48"/>
      <c r="N203" s="48"/>
      <c r="O203" s="48"/>
      <c r="P203" s="48"/>
      <c r="Q203" s="48"/>
      <c r="R203" s="48"/>
      <c r="S203" s="51">
        <f>MAX(S200-S197-S202-S201-S204,0)</f>
        <v>0</v>
      </c>
      <c r="T203" s="47"/>
      <c r="U203" s="48"/>
      <c r="V203" s="48"/>
      <c r="W203" s="48"/>
      <c r="X203" s="48"/>
      <c r="Y203" s="48"/>
      <c r="Z203" s="48"/>
      <c r="AA203" s="48"/>
      <c r="AB203" s="51">
        <f>MAX(AB200-AB197-AB202-AB201-AB204,0)</f>
        <v>0</v>
      </c>
      <c r="AC203" s="47"/>
      <c r="AD203" s="48"/>
      <c r="AE203" s="48"/>
      <c r="AF203" s="48"/>
      <c r="AG203" s="48"/>
      <c r="AH203" s="48"/>
      <c r="AI203" s="48"/>
      <c r="AJ203" s="48"/>
      <c r="AK203" s="51">
        <f>MAX(AK200-AK197-AK202-AK201-AK204,0)</f>
        <v>0</v>
      </c>
      <c r="AL203" s="47"/>
      <c r="AM203" s="48"/>
      <c r="AN203" s="48"/>
      <c r="AO203" s="48"/>
      <c r="AP203" s="48"/>
      <c r="AQ203" s="48"/>
      <c r="AR203" s="48"/>
      <c r="AS203" s="48"/>
      <c r="AT203" s="51">
        <f>MAX(AT200-AT197-AT202-AT201-AT204,0)</f>
        <v>0</v>
      </c>
      <c r="AU203" s="47"/>
      <c r="AV203" s="48"/>
      <c r="AW203" s="48"/>
      <c r="AX203" s="97">
        <f>MAX(AX200-AX197-AX202-AX201,0)</f>
        <v>0</v>
      </c>
      <c r="AY203" s="49">
        <f t="shared" si="449"/>
        <v>0</v>
      </c>
      <c r="AZ203" s="39"/>
      <c r="BA203" s="39"/>
      <c r="BB203" s="39"/>
      <c r="BC203" s="39"/>
      <c r="BD203" s="39"/>
      <c r="BE203" s="39"/>
      <c r="BF203" s="29"/>
    </row>
    <row r="204" spans="1:59" s="27" customFormat="1" ht="15" customHeight="1">
      <c r="A204" s="50" t="s">
        <v>7</v>
      </c>
      <c r="B204" s="50"/>
      <c r="C204" s="51">
        <f>IF(C195="Dim",C200,IF(C210="ferie",C200,0))</f>
        <v>0</v>
      </c>
      <c r="D204" s="51">
        <f t="shared" ref="D204:I204" si="456">IF(D195="Dim",D200,IF(D210="ferie",D200,0))</f>
        <v>0</v>
      </c>
      <c r="E204" s="51">
        <f t="shared" si="456"/>
        <v>0</v>
      </c>
      <c r="F204" s="51">
        <f t="shared" si="456"/>
        <v>0</v>
      </c>
      <c r="G204" s="51">
        <f t="shared" si="456"/>
        <v>0</v>
      </c>
      <c r="H204" s="51">
        <f t="shared" si="456"/>
        <v>0</v>
      </c>
      <c r="I204" s="51">
        <f t="shared" si="456"/>
        <v>0</v>
      </c>
      <c r="J204" s="51">
        <f t="shared" si="439"/>
        <v>0</v>
      </c>
      <c r="K204" s="50"/>
      <c r="L204" s="51">
        <f>IF(L195="Dim",L200,IF(L210="ferie",L200,0))</f>
        <v>0</v>
      </c>
      <c r="M204" s="51">
        <f t="shared" ref="M204:R204" si="457">IF(M195="Dim",M200,IF(M210="ferie",M200,0))</f>
        <v>0</v>
      </c>
      <c r="N204" s="51">
        <f t="shared" si="457"/>
        <v>0</v>
      </c>
      <c r="O204" s="51">
        <f t="shared" si="457"/>
        <v>0</v>
      </c>
      <c r="P204" s="51">
        <f t="shared" si="457"/>
        <v>0</v>
      </c>
      <c r="Q204" s="51">
        <f>IF(Q195="Dim",Q200,IF(Q210="ferie",Q200,0))</f>
        <v>0</v>
      </c>
      <c r="R204" s="51">
        <f t="shared" si="457"/>
        <v>0</v>
      </c>
      <c r="S204" s="51">
        <f t="shared" si="441"/>
        <v>0</v>
      </c>
      <c r="T204" s="50"/>
      <c r="U204" s="51">
        <f>IF(U195="Dim",U200,IF(U210="ferie",U200,0))</f>
        <v>0</v>
      </c>
      <c r="V204" s="51">
        <f t="shared" ref="V204:AA204" si="458">IF(V195="Dim",V200,IF(V210="ferie",V200,0))</f>
        <v>0</v>
      </c>
      <c r="W204" s="51">
        <f t="shared" si="458"/>
        <v>0</v>
      </c>
      <c r="X204" s="51">
        <f t="shared" si="458"/>
        <v>0</v>
      </c>
      <c r="Y204" s="51">
        <f t="shared" si="458"/>
        <v>0</v>
      </c>
      <c r="Z204" s="51">
        <f t="shared" si="458"/>
        <v>0</v>
      </c>
      <c r="AA204" s="51">
        <f t="shared" si="458"/>
        <v>0</v>
      </c>
      <c r="AB204" s="51">
        <f t="shared" si="443"/>
        <v>0</v>
      </c>
      <c r="AC204" s="50"/>
      <c r="AD204" s="51">
        <f>IF(AD195="Dim",AD200,IF(AD210="ferie",AD200,0))</f>
        <v>0</v>
      </c>
      <c r="AE204" s="51">
        <f t="shared" ref="AE204:AJ204" si="459">IF(AE195="Dim",AE200,IF(AE210="ferie",AE200,0))</f>
        <v>0</v>
      </c>
      <c r="AF204" s="51">
        <f t="shared" si="459"/>
        <v>0</v>
      </c>
      <c r="AG204" s="51">
        <f t="shared" si="459"/>
        <v>0</v>
      </c>
      <c r="AH204" s="51">
        <f t="shared" si="459"/>
        <v>0</v>
      </c>
      <c r="AI204" s="51">
        <f t="shared" si="459"/>
        <v>0</v>
      </c>
      <c r="AJ204" s="51">
        <f t="shared" si="459"/>
        <v>0</v>
      </c>
      <c r="AK204" s="51">
        <f t="shared" si="445"/>
        <v>0</v>
      </c>
      <c r="AL204" s="50"/>
      <c r="AM204" s="51">
        <f>IF(AM195="Dim",AM200,IF(AM210="ferie",AM200,0))</f>
        <v>0</v>
      </c>
      <c r="AN204" s="51">
        <f t="shared" ref="AN204:AW204" si="460">IF(AN195="Dim",AN200,IF(AN210="ferie",AN200,0))</f>
        <v>0</v>
      </c>
      <c r="AO204" s="51">
        <f t="shared" si="460"/>
        <v>0</v>
      </c>
      <c r="AP204" s="51">
        <f t="shared" si="460"/>
        <v>0</v>
      </c>
      <c r="AQ204" s="51">
        <f t="shared" si="460"/>
        <v>0</v>
      </c>
      <c r="AR204" s="51">
        <f t="shared" si="460"/>
        <v>0</v>
      </c>
      <c r="AS204" s="51">
        <f t="shared" si="460"/>
        <v>0</v>
      </c>
      <c r="AT204" s="51">
        <f t="shared" si="447"/>
        <v>0</v>
      </c>
      <c r="AU204" s="50"/>
      <c r="AV204" s="51">
        <f>IF(AV195="Dim",AV200,IF(AV210="ferie",AV200,0))</f>
        <v>0</v>
      </c>
      <c r="AW204" s="51">
        <f t="shared" si="460"/>
        <v>0</v>
      </c>
      <c r="AX204" s="51">
        <f t="shared" ref="AX204:AX209" si="461">SUM(AV204:AW204)</f>
        <v>0</v>
      </c>
      <c r="AY204" s="51">
        <f t="shared" si="449"/>
        <v>0</v>
      </c>
      <c r="AZ204" s="25"/>
      <c r="BA204" s="25"/>
      <c r="BB204" s="25"/>
      <c r="BC204" s="25"/>
      <c r="BD204" s="25"/>
      <c r="BE204" s="25"/>
      <c r="BF204" s="25"/>
      <c r="BG204" s="28"/>
    </row>
    <row r="205" spans="1:59" s="27" customFormat="1" ht="15" customHeight="1">
      <c r="A205" s="47" t="s">
        <v>8</v>
      </c>
      <c r="B205" s="47"/>
      <c r="C205" s="48"/>
      <c r="D205" s="48"/>
      <c r="E205" s="48"/>
      <c r="F205" s="48"/>
      <c r="G205" s="48"/>
      <c r="H205" s="48"/>
      <c r="I205" s="48"/>
      <c r="J205" s="51">
        <f t="shared" ref="J205:J209" si="462">SUM(C205:I205)</f>
        <v>0</v>
      </c>
      <c r="K205" s="47"/>
      <c r="L205" s="48"/>
      <c r="M205" s="48"/>
      <c r="N205" s="48"/>
      <c r="O205" s="48"/>
      <c r="P205" s="48"/>
      <c r="Q205" s="48"/>
      <c r="R205" s="48"/>
      <c r="S205" s="51">
        <f t="shared" ref="S205:S209" si="463">SUM(L205:R205)</f>
        <v>0</v>
      </c>
      <c r="T205" s="47"/>
      <c r="U205" s="48"/>
      <c r="V205" s="48"/>
      <c r="W205" s="48"/>
      <c r="X205" s="48"/>
      <c r="Y205" s="48"/>
      <c r="Z205" s="48"/>
      <c r="AA205" s="48"/>
      <c r="AB205" s="51">
        <f t="shared" ref="AB205:AB209" si="464">SUM(U205:AA205)</f>
        <v>0</v>
      </c>
      <c r="AC205" s="47"/>
      <c r="AD205" s="48"/>
      <c r="AE205" s="48"/>
      <c r="AF205" s="48"/>
      <c r="AG205" s="48"/>
      <c r="AH205" s="48"/>
      <c r="AI205" s="48"/>
      <c r="AJ205" s="48"/>
      <c r="AK205" s="51">
        <f t="shared" ref="AK205:AK209" si="465">SUM(AD205:AJ205)</f>
        <v>0</v>
      </c>
      <c r="AL205" s="47"/>
      <c r="AM205" s="48"/>
      <c r="AN205" s="48"/>
      <c r="AO205" s="48"/>
      <c r="AP205" s="48"/>
      <c r="AQ205" s="48"/>
      <c r="AR205" s="48"/>
      <c r="AS205" s="48"/>
      <c r="AT205" s="51">
        <f t="shared" ref="AT205:AT209" si="466">SUM(AM205:AS205)</f>
        <v>0</v>
      </c>
      <c r="AU205" s="47"/>
      <c r="AV205" s="48"/>
      <c r="AW205" s="48"/>
      <c r="AX205" s="51">
        <f>SUM(AV205:AW205)</f>
        <v>0</v>
      </c>
      <c r="AY205" s="48">
        <f t="shared" si="449"/>
        <v>0</v>
      </c>
      <c r="AZ205" s="39"/>
      <c r="BA205" s="39"/>
      <c r="BB205" s="39"/>
      <c r="BC205" s="39"/>
      <c r="BD205" s="39"/>
      <c r="BE205" s="39"/>
      <c r="BF205" s="29"/>
    </row>
    <row r="206" spans="1:59" s="27" customFormat="1" ht="15" customHeight="1">
      <c r="A206" s="50" t="s">
        <v>9</v>
      </c>
      <c r="B206" s="50"/>
      <c r="C206" s="51"/>
      <c r="D206" s="51"/>
      <c r="E206" s="51"/>
      <c r="F206" s="51"/>
      <c r="G206" s="51"/>
      <c r="H206" s="51"/>
      <c r="I206" s="51"/>
      <c r="J206" s="51">
        <f t="shared" si="462"/>
        <v>0</v>
      </c>
      <c r="K206" s="50"/>
      <c r="L206" s="51"/>
      <c r="M206" s="51"/>
      <c r="N206" s="51"/>
      <c r="O206" s="51"/>
      <c r="P206" s="51"/>
      <c r="Q206" s="51"/>
      <c r="R206" s="51"/>
      <c r="S206" s="51">
        <f t="shared" si="463"/>
        <v>0</v>
      </c>
      <c r="T206" s="50"/>
      <c r="U206" s="51"/>
      <c r="V206" s="51"/>
      <c r="W206" s="51"/>
      <c r="X206" s="51"/>
      <c r="Y206" s="51"/>
      <c r="Z206" s="51"/>
      <c r="AA206" s="51"/>
      <c r="AB206" s="51">
        <f t="shared" si="464"/>
        <v>0</v>
      </c>
      <c r="AC206" s="50"/>
      <c r="AD206" s="51"/>
      <c r="AE206" s="51"/>
      <c r="AF206" s="51"/>
      <c r="AG206" s="51"/>
      <c r="AH206" s="51"/>
      <c r="AI206" s="51"/>
      <c r="AJ206" s="51"/>
      <c r="AK206" s="51">
        <f t="shared" si="465"/>
        <v>0</v>
      </c>
      <c r="AL206" s="50"/>
      <c r="AM206" s="51"/>
      <c r="AN206" s="51"/>
      <c r="AO206" s="51"/>
      <c r="AP206" s="51"/>
      <c r="AQ206" s="51"/>
      <c r="AR206" s="51"/>
      <c r="AS206" s="51"/>
      <c r="AT206" s="51">
        <f t="shared" si="466"/>
        <v>0</v>
      </c>
      <c r="AU206" s="50"/>
      <c r="AV206" s="51"/>
      <c r="AW206" s="51"/>
      <c r="AX206" s="51">
        <f t="shared" si="461"/>
        <v>0</v>
      </c>
      <c r="AY206" s="51">
        <f t="shared" si="449"/>
        <v>0</v>
      </c>
      <c r="AZ206" s="25"/>
      <c r="BA206" s="25"/>
      <c r="BB206" s="25"/>
      <c r="BC206" s="25"/>
      <c r="BD206" s="25"/>
      <c r="BE206" s="25"/>
      <c r="BF206" s="25"/>
      <c r="BG206" s="28"/>
    </row>
    <row r="207" spans="1:59" s="5" customFormat="1" ht="15" customHeight="1">
      <c r="A207" s="47" t="s">
        <v>11</v>
      </c>
      <c r="B207" s="47"/>
      <c r="C207" s="48"/>
      <c r="D207" s="48"/>
      <c r="E207" s="48"/>
      <c r="F207" s="48"/>
      <c r="G207" s="48"/>
      <c r="H207" s="48"/>
      <c r="I207" s="48"/>
      <c r="J207" s="51">
        <f t="shared" si="462"/>
        <v>0</v>
      </c>
      <c r="K207" s="47"/>
      <c r="L207" s="48"/>
      <c r="M207" s="48"/>
      <c r="N207" s="48"/>
      <c r="O207" s="48"/>
      <c r="P207" s="48"/>
      <c r="Q207" s="48"/>
      <c r="R207" s="48"/>
      <c r="S207" s="51">
        <f t="shared" si="463"/>
        <v>0</v>
      </c>
      <c r="T207" s="47"/>
      <c r="U207" s="48"/>
      <c r="V207" s="48"/>
      <c r="W207" s="48"/>
      <c r="X207" s="48"/>
      <c r="Y207" s="48"/>
      <c r="Z207" s="48"/>
      <c r="AA207" s="48"/>
      <c r="AB207" s="51">
        <f t="shared" si="464"/>
        <v>0</v>
      </c>
      <c r="AC207" s="47"/>
      <c r="AD207" s="48"/>
      <c r="AE207" s="48"/>
      <c r="AF207" s="48"/>
      <c r="AG207" s="48"/>
      <c r="AH207" s="48"/>
      <c r="AI207" s="48"/>
      <c r="AJ207" s="48"/>
      <c r="AK207" s="51">
        <f t="shared" si="465"/>
        <v>0</v>
      </c>
      <c r="AL207" s="47"/>
      <c r="AM207" s="48"/>
      <c r="AN207" s="48"/>
      <c r="AO207" s="48"/>
      <c r="AP207" s="48"/>
      <c r="AQ207" s="48"/>
      <c r="AR207" s="48"/>
      <c r="AS207" s="48"/>
      <c r="AT207" s="51">
        <f t="shared" si="466"/>
        <v>0</v>
      </c>
      <c r="AU207" s="47"/>
      <c r="AV207" s="48"/>
      <c r="AW207" s="48"/>
      <c r="AX207" s="51">
        <f t="shared" si="461"/>
        <v>0</v>
      </c>
      <c r="AY207" s="49">
        <f t="shared" si="449"/>
        <v>0</v>
      </c>
      <c r="AZ207" s="39"/>
      <c r="BA207" s="39"/>
      <c r="BB207" s="39"/>
      <c r="BC207" s="39"/>
      <c r="BD207" s="39"/>
      <c r="BE207" s="39"/>
      <c r="BF207" s="29"/>
    </row>
    <row r="208" spans="1:59" s="27" customFormat="1" ht="15" customHeight="1">
      <c r="A208" s="50" t="s">
        <v>10</v>
      </c>
      <c r="B208" s="50"/>
      <c r="C208" s="51"/>
      <c r="D208" s="51"/>
      <c r="E208" s="51"/>
      <c r="F208" s="51"/>
      <c r="G208" s="51"/>
      <c r="H208" s="51"/>
      <c r="I208" s="51"/>
      <c r="J208" s="51">
        <f t="shared" si="462"/>
        <v>0</v>
      </c>
      <c r="K208" s="50"/>
      <c r="L208" s="51"/>
      <c r="M208" s="51"/>
      <c r="N208" s="51"/>
      <c r="O208" s="51"/>
      <c r="P208" s="51"/>
      <c r="Q208" s="51"/>
      <c r="R208" s="51"/>
      <c r="S208" s="51">
        <f t="shared" si="463"/>
        <v>0</v>
      </c>
      <c r="T208" s="50"/>
      <c r="U208" s="51"/>
      <c r="V208" s="51"/>
      <c r="W208" s="51"/>
      <c r="X208" s="51"/>
      <c r="Y208" s="51"/>
      <c r="Z208" s="51"/>
      <c r="AA208" s="51"/>
      <c r="AB208" s="51">
        <f t="shared" si="464"/>
        <v>0</v>
      </c>
      <c r="AC208" s="50"/>
      <c r="AD208" s="51"/>
      <c r="AE208" s="51"/>
      <c r="AF208" s="51"/>
      <c r="AG208" s="51"/>
      <c r="AH208" s="51"/>
      <c r="AI208" s="51"/>
      <c r="AJ208" s="51"/>
      <c r="AK208" s="51">
        <f t="shared" si="465"/>
        <v>0</v>
      </c>
      <c r="AL208" s="50"/>
      <c r="AM208" s="51"/>
      <c r="AN208" s="51"/>
      <c r="AO208" s="51"/>
      <c r="AP208" s="51"/>
      <c r="AQ208" s="51"/>
      <c r="AR208" s="51"/>
      <c r="AS208" s="51"/>
      <c r="AT208" s="51">
        <f t="shared" si="466"/>
        <v>0</v>
      </c>
      <c r="AU208" s="50"/>
      <c r="AV208" s="51"/>
      <c r="AW208" s="51"/>
      <c r="AX208" s="51">
        <f t="shared" si="461"/>
        <v>0</v>
      </c>
      <c r="AY208" s="51">
        <f t="shared" si="449"/>
        <v>0</v>
      </c>
      <c r="AZ208" s="25"/>
      <c r="BA208" s="25"/>
      <c r="BB208" s="25"/>
      <c r="BC208" s="25"/>
      <c r="BD208" s="25"/>
      <c r="BE208" s="25"/>
      <c r="BF208" s="25"/>
      <c r="BG208" s="28"/>
    </row>
    <row r="209" spans="1:59" s="5" customFormat="1" ht="15" customHeight="1">
      <c r="A209" s="47" t="s">
        <v>37</v>
      </c>
      <c r="B209" s="47"/>
      <c r="C209" s="48">
        <f>IF(C197="nuit",C200*0.02,0)</f>
        <v>0</v>
      </c>
      <c r="D209" s="48">
        <f>IF(D197="nuit",D200*0.02,0)</f>
        <v>0</v>
      </c>
      <c r="E209" s="48">
        <f t="shared" ref="E209:I209" si="467">IF(E197="nuit",E200*0.02,0)</f>
        <v>0</v>
      </c>
      <c r="F209" s="48">
        <f t="shared" si="467"/>
        <v>0</v>
      </c>
      <c r="G209" s="48">
        <f>IF(G197="nuit",G200*0.02,0)</f>
        <v>0</v>
      </c>
      <c r="H209" s="48">
        <f t="shared" si="467"/>
        <v>0</v>
      </c>
      <c r="I209" s="48">
        <f t="shared" si="467"/>
        <v>0</v>
      </c>
      <c r="J209" s="51">
        <f t="shared" si="462"/>
        <v>0</v>
      </c>
      <c r="K209" s="47"/>
      <c r="L209" s="48">
        <f>IF(L197="nuit",L200*0.02,0)</f>
        <v>0</v>
      </c>
      <c r="M209" s="48">
        <f>IF(M197="nuit",M200*0.02,0)</f>
        <v>0</v>
      </c>
      <c r="N209" s="48">
        <f t="shared" ref="N209:R209" si="468">IF(N197="nuit",N200*0.02,0)</f>
        <v>0</v>
      </c>
      <c r="O209" s="48">
        <f t="shared" si="468"/>
        <v>0</v>
      </c>
      <c r="P209" s="48">
        <f>IF(P197="nuit",P200*0.02,0)</f>
        <v>0</v>
      </c>
      <c r="Q209" s="48">
        <f t="shared" si="468"/>
        <v>0</v>
      </c>
      <c r="R209" s="48">
        <f t="shared" si="468"/>
        <v>0</v>
      </c>
      <c r="S209" s="51">
        <f t="shared" si="463"/>
        <v>0</v>
      </c>
      <c r="T209" s="47"/>
      <c r="U209" s="48">
        <f>IF(U197="nuit",U200*0.02,0)</f>
        <v>0</v>
      </c>
      <c r="V209" s="48">
        <f>IF(V197="nuit",V200*0.02,0)</f>
        <v>0</v>
      </c>
      <c r="W209" s="48">
        <f t="shared" ref="W209:AA209" si="469">IF(W197="nuit",W200*0.02,0)</f>
        <v>0</v>
      </c>
      <c r="X209" s="48">
        <f t="shared" si="469"/>
        <v>0</v>
      </c>
      <c r="Y209" s="48">
        <f>IF(Y197="nuit",Y200*0.02,0)</f>
        <v>0</v>
      </c>
      <c r="Z209" s="48">
        <f t="shared" si="469"/>
        <v>0</v>
      </c>
      <c r="AA209" s="48">
        <f t="shared" si="469"/>
        <v>0</v>
      </c>
      <c r="AB209" s="51">
        <f t="shared" si="464"/>
        <v>0</v>
      </c>
      <c r="AC209" s="47"/>
      <c r="AD209" s="48">
        <f>IF(AD197="nuit",AD200*0.02,0)</f>
        <v>0.16</v>
      </c>
      <c r="AE209" s="48">
        <f>IF(AE197="nuit",AE200*0.02,0)</f>
        <v>0.16</v>
      </c>
      <c r="AF209" s="48">
        <f t="shared" ref="AF209:AJ209" si="470">IF(AF197="nuit",AF200*0.02,0)</f>
        <v>0.16</v>
      </c>
      <c r="AG209" s="48">
        <f t="shared" si="470"/>
        <v>0.16</v>
      </c>
      <c r="AH209" s="48">
        <f>IF(AH197="nuit",AH200*0.02,0)</f>
        <v>0.16</v>
      </c>
      <c r="AI209" s="48">
        <f t="shared" si="470"/>
        <v>0</v>
      </c>
      <c r="AJ209" s="48">
        <f t="shared" si="470"/>
        <v>0</v>
      </c>
      <c r="AK209" s="51">
        <f t="shared" si="465"/>
        <v>0.8</v>
      </c>
      <c r="AL209" s="47"/>
      <c r="AM209" s="48">
        <f>IF(AM197="nuit",AM200*0.02,0)</f>
        <v>0</v>
      </c>
      <c r="AN209" s="48">
        <f>IF(AN197="nuit",AN200*0.02,0)</f>
        <v>0</v>
      </c>
      <c r="AO209" s="48">
        <f t="shared" ref="AO209:AS209" si="471">IF(AO197="nuit",AO200*0.02,0)</f>
        <v>0</v>
      </c>
      <c r="AP209" s="48">
        <f t="shared" si="471"/>
        <v>0</v>
      </c>
      <c r="AQ209" s="48">
        <f>IF(AQ197="nuit",AQ200*0.02,0)</f>
        <v>0</v>
      </c>
      <c r="AR209" s="48">
        <f t="shared" si="471"/>
        <v>0</v>
      </c>
      <c r="AS209" s="48">
        <f t="shared" si="471"/>
        <v>0</v>
      </c>
      <c r="AT209" s="51">
        <f t="shared" si="466"/>
        <v>0</v>
      </c>
      <c r="AU209" s="47"/>
      <c r="AV209" s="48">
        <f>IF(AV197="nuit",AV200*0.02,0)</f>
        <v>0</v>
      </c>
      <c r="AW209" s="48">
        <f>IF(AW197="nuit",AW200*0.02,0)</f>
        <v>0</v>
      </c>
      <c r="AX209" s="51">
        <f t="shared" si="461"/>
        <v>0</v>
      </c>
      <c r="AY209" s="49">
        <f>J209+S209+AB209+AK209+AT209+AX209</f>
        <v>0.8</v>
      </c>
      <c r="AZ209" s="39"/>
      <c r="BA209" s="39"/>
      <c r="BB209" s="39"/>
      <c r="BC209" s="39"/>
      <c r="BD209" s="39"/>
      <c r="BE209" s="39"/>
      <c r="BF209" s="29"/>
    </row>
    <row r="210" spans="1:59" s="27" customFormat="1" ht="15" customHeight="1">
      <c r="A210" s="50" t="s">
        <v>24</v>
      </c>
      <c r="B210" s="50"/>
      <c r="C210" s="51"/>
      <c r="D210" s="51"/>
      <c r="E210" s="51"/>
      <c r="F210" s="51"/>
      <c r="G210" s="51"/>
      <c r="H210" s="51"/>
      <c r="I210" s="51"/>
      <c r="J210" s="51"/>
      <c r="K210" s="50"/>
      <c r="L210" s="51"/>
      <c r="M210" s="51"/>
      <c r="N210" s="51"/>
      <c r="O210" s="51"/>
      <c r="P210" s="51"/>
      <c r="Q210" s="51"/>
      <c r="R210" s="51"/>
      <c r="S210" s="51"/>
      <c r="T210" s="50"/>
      <c r="U210" s="51"/>
      <c r="V210" s="51"/>
      <c r="W210" s="51"/>
      <c r="X210" s="51"/>
      <c r="Y210" s="51"/>
      <c r="Z210" s="51"/>
      <c r="AA210" s="51"/>
      <c r="AB210" s="51"/>
      <c r="AC210" s="50"/>
      <c r="AD210" s="51"/>
      <c r="AE210" s="51"/>
      <c r="AF210" s="51"/>
      <c r="AG210" s="51"/>
      <c r="AH210" s="51"/>
      <c r="AI210" s="51"/>
      <c r="AJ210" s="51"/>
      <c r="AK210" s="51"/>
      <c r="AL210" s="50"/>
      <c r="AM210" s="51"/>
      <c r="AN210" s="51"/>
      <c r="AO210" s="51"/>
      <c r="AP210" s="51"/>
      <c r="AQ210" s="51"/>
      <c r="AR210" s="51"/>
      <c r="AS210" s="51"/>
      <c r="AT210" s="51"/>
      <c r="AU210" s="50"/>
      <c r="AV210" s="51"/>
      <c r="AW210" s="51"/>
      <c r="AX210" s="51"/>
      <c r="AY210" s="51"/>
      <c r="AZ210" s="25"/>
      <c r="BA210" s="25"/>
      <c r="BB210" s="25"/>
      <c r="BC210" s="25"/>
      <c r="BD210" s="25"/>
      <c r="BE210" s="25"/>
      <c r="BF210" s="25"/>
      <c r="BG210" s="28"/>
    </row>
    <row r="211" spans="1:59" s="99" customFormat="1" ht="15" customHeight="1">
      <c r="A211" s="104" t="s">
        <v>112</v>
      </c>
      <c r="B211" s="105"/>
      <c r="C211" s="106" t="str">
        <f>IF(C196="","",IFERROR(VLOOKUP(B195,[2]DATA!$A$12:$H$16,2,TRUE),0))</f>
        <v/>
      </c>
      <c r="D211" s="106" t="str">
        <f>IF(D196="","",IFERROR(VLOOKUP(B195,[2]DATA!$A$12:$H$16,3,TRUE),0))</f>
        <v/>
      </c>
      <c r="E211" s="106" t="str">
        <f>IF(E196="","",IFERROR(VLOOKUP(B195,[2]DATA!$A$12:$H$16,4,TRUE),0))</f>
        <v/>
      </c>
      <c r="F211" s="106">
        <f>IF(F196="","",IFERROR(VLOOKUP(B195,[2]DATA!$A$12:$H$16,5,TRUE),0))</f>
        <v>1</v>
      </c>
      <c r="G211" s="106">
        <f>IF(G196="","",IFERROR(VLOOKUP(B195,[2]DATA!$A$12:$H$16,6,TRUE),0))</f>
        <v>1</v>
      </c>
      <c r="H211" s="106"/>
      <c r="I211" s="106"/>
      <c r="J211" s="106">
        <f>SUM(C211:G211)</f>
        <v>2</v>
      </c>
      <c r="K211" s="106"/>
      <c r="L211" s="106">
        <f>IF(L196="","",IFERROR(VLOOKUP(K195,[2]DATA!$A$12:$H$16,2,TRUE),0))</f>
        <v>1</v>
      </c>
      <c r="M211" s="106">
        <f>IF(M196="","",IFERROR(VLOOKUP(K195,[2]DATA!$A$12:$H$16,3,TRUE),0))</f>
        <v>1</v>
      </c>
      <c r="N211" s="106">
        <f>IF(N196="","",IFERROR(VLOOKUP(K195,[2]DATA!$A$12:$H$16,4,TRUE),0))</f>
        <v>1</v>
      </c>
      <c r="O211" s="106">
        <f>IF(O196="","",IFERROR(VLOOKUP(K195,[2]DATA!$A$12:$H$16,5,TRUE),0))</f>
        <v>1</v>
      </c>
      <c r="P211" s="106">
        <f>IF(P196="","",IFERROR(VLOOKUP(K195,[2]DATA!$A$12:$H$16,6,TRUE),0))</f>
        <v>1</v>
      </c>
      <c r="Q211" s="106"/>
      <c r="R211" s="106"/>
      <c r="S211" s="106">
        <f>SUM(L211:P211)</f>
        <v>5</v>
      </c>
      <c r="T211" s="106"/>
      <c r="U211" s="106">
        <f>IF(U196="","",IFERROR(VLOOKUP(T195,[2]DATA!$A$12:$H$16,2,TRUE),0))</f>
        <v>1</v>
      </c>
      <c r="V211" s="106">
        <f>IF(V196="","",IFERROR(VLOOKUP(T195,[2]DATA!$A$12:$H$16,3,TRUE),0))</f>
        <v>1</v>
      </c>
      <c r="W211" s="106">
        <f>IF(W196="","",IFERROR(VLOOKUP(T195,[2]DATA!$A$12:$H$16,4,TRUE),0))</f>
        <v>1</v>
      </c>
      <c r="X211" s="106">
        <f>IF(X196="","",IFERROR(VLOOKUP(T195,[2]DATA!$A$12:$H$16,5,TRUE),0))</f>
        <v>0</v>
      </c>
      <c r="Y211" s="106">
        <f>IF(Y196="","",IFERROR(VLOOKUP(T195,[2]DATA!$A$12:$H$16,6,TRUE),0))</f>
        <v>0</v>
      </c>
      <c r="Z211" s="106"/>
      <c r="AA211" s="106"/>
      <c r="AB211" s="106">
        <f>SUM(U211:Y211)</f>
        <v>3</v>
      </c>
      <c r="AC211" s="106"/>
      <c r="AD211" s="106">
        <f>IF(AD196="","",IFERROR(VLOOKUP(AC195,[2]DATA!$A$12:$H$16,2,TRUE),0))</f>
        <v>1</v>
      </c>
      <c r="AE211" s="106">
        <f>IF(AE196="","",IFERROR(VLOOKUP(AC195,[2]DATA!$A$12:$H$16,3,TRUE),0))</f>
        <v>1</v>
      </c>
      <c r="AF211" s="106">
        <f>IF(AF196="","",IFERROR(VLOOKUP(AC195,[2]DATA!$A$12:$H$16,4,TRUE),0))</f>
        <v>1</v>
      </c>
      <c r="AG211" s="106">
        <f>IF(AG196="","",IFERROR(VLOOKUP(AC195,[2]DATA!$A$12:$H$16,5,TRUE),0))</f>
        <v>1</v>
      </c>
      <c r="AH211" s="106">
        <f>IF(AH196="","",IFERROR(VLOOKUP(AC195,[2]DATA!$A$12:$H$16,6,TRUE),0))</f>
        <v>1</v>
      </c>
      <c r="AI211" s="106"/>
      <c r="AJ211" s="106"/>
      <c r="AK211" s="106">
        <f>SUM(AD211:AH211)</f>
        <v>5</v>
      </c>
      <c r="AL211" s="106"/>
      <c r="AM211" s="106">
        <f>IF(AM196="","",IFERROR(VLOOKUP(AL195,[2]DATA!$A$12:$H$16,2,TRUE),0))</f>
        <v>1</v>
      </c>
      <c r="AN211" s="106">
        <f>IF(AN196="","",IFERROR(VLOOKUP(AL195,[2]DATA!$A$12:$H$16,3,TRUE),0))</f>
        <v>0</v>
      </c>
      <c r="AO211" s="106">
        <f>IF(AO196="","",IFERROR(VLOOKUP(AL195,[2]DATA!$A$12:$H$16,4,TRUE),0))</f>
        <v>0</v>
      </c>
      <c r="AP211" s="106">
        <f>IF(AP196="","",IFERROR(VLOOKUP(AL195,[2]DATA!$A$12:$H$16,5,TRUE),0))</f>
        <v>1</v>
      </c>
      <c r="AQ211" s="106">
        <f>IF(AQ196="","",IFERROR(VLOOKUP(AL195,[2]DATA!$A$12:$H$16,6,TRUE),0))</f>
        <v>1</v>
      </c>
      <c r="AR211" s="106"/>
      <c r="AS211" s="106"/>
      <c r="AT211" s="106">
        <f>SUM(AM211:AQ211)</f>
        <v>3</v>
      </c>
      <c r="AU211" s="106"/>
      <c r="AV211" s="106" t="str">
        <f>IF(AV196="","",IFERROR(VLOOKUP(AU195,[2]DATA!$A$12:$H$16,2,TRUE),0))</f>
        <v/>
      </c>
      <c r="AW211" s="106" t="str">
        <f>IF(AW196="","",IFERROR(VLOOKUP(AU195,[2]DATA!$A$12:$H$16,3,TRUE),0))</f>
        <v/>
      </c>
      <c r="AX211" s="106">
        <f>SUM(AV211:AW211)</f>
        <v>0</v>
      </c>
      <c r="AY211" s="107"/>
      <c r="AZ211" s="34"/>
      <c r="BA211" s="34"/>
      <c r="BB211" s="34"/>
      <c r="BC211" s="34"/>
      <c r="BD211" s="34"/>
      <c r="BE211" s="34"/>
      <c r="BF211" s="98"/>
    </row>
    <row r="212" spans="1:59" s="99" customFormat="1" ht="15" customHeight="1">
      <c r="A212" s="108" t="s">
        <v>113</v>
      </c>
      <c r="B212" s="109"/>
      <c r="C212" s="53"/>
      <c r="D212" s="53"/>
      <c r="E212" s="53"/>
      <c r="F212" s="53"/>
      <c r="G212" s="53"/>
      <c r="H212" s="53"/>
      <c r="I212" s="53"/>
      <c r="J212" s="53">
        <f>J199-J211</f>
        <v>0</v>
      </c>
      <c r="K212" s="53"/>
      <c r="L212" s="53"/>
      <c r="M212" s="53"/>
      <c r="N212" s="53"/>
      <c r="O212" s="53"/>
      <c r="P212" s="53"/>
      <c r="Q212" s="53"/>
      <c r="R212" s="53"/>
      <c r="S212" s="53">
        <f>S199-S211</f>
        <v>0</v>
      </c>
      <c r="T212" s="53"/>
      <c r="U212" s="53"/>
      <c r="V212" s="53"/>
      <c r="W212" s="53"/>
      <c r="X212" s="53"/>
      <c r="Y212" s="53"/>
      <c r="Z212" s="53"/>
      <c r="AA212" s="53"/>
      <c r="AB212" s="53">
        <f>AB199-AB211</f>
        <v>0</v>
      </c>
      <c r="AC212" s="53"/>
      <c r="AD212" s="53"/>
      <c r="AE212" s="53"/>
      <c r="AF212" s="53"/>
      <c r="AG212" s="53"/>
      <c r="AH212" s="53"/>
      <c r="AI212" s="53"/>
      <c r="AJ212" s="53"/>
      <c r="AK212" s="53">
        <f>AK199-AK211</f>
        <v>0</v>
      </c>
      <c r="AL212" s="53"/>
      <c r="AM212" s="53"/>
      <c r="AN212" s="53"/>
      <c r="AO212" s="53"/>
      <c r="AP212" s="53"/>
      <c r="AQ212" s="53"/>
      <c r="AR212" s="53"/>
      <c r="AS212" s="53"/>
      <c r="AT212" s="53">
        <f>AT199-AT211</f>
        <v>0</v>
      </c>
      <c r="AU212" s="53"/>
      <c r="AV212" s="53"/>
      <c r="AW212" s="53"/>
      <c r="AX212" s="53">
        <f>AX199-AX211</f>
        <v>0</v>
      </c>
      <c r="AY212" s="110">
        <f>AT212+AK212+AB212+S212+J212</f>
        <v>0</v>
      </c>
      <c r="AZ212" s="34"/>
      <c r="BA212" s="34"/>
      <c r="BB212" s="34"/>
      <c r="BC212" s="34"/>
      <c r="BD212" s="34"/>
      <c r="BE212" s="34"/>
      <c r="BF212" s="98"/>
    </row>
    <row r="213" spans="1:59" ht="27">
      <c r="A213" s="16"/>
      <c r="B213" s="16"/>
      <c r="C213" s="101" t="s">
        <v>23</v>
      </c>
      <c r="D213" s="101"/>
      <c r="E213" s="101"/>
      <c r="F213" s="101"/>
      <c r="G213" s="101"/>
      <c r="H213" s="112">
        <f>Année_Calendaire</f>
        <v>2018</v>
      </c>
      <c r="I213" s="112"/>
      <c r="J213" s="94"/>
      <c r="K213" s="43"/>
      <c r="L213" s="102"/>
      <c r="M213" s="102"/>
      <c r="N213" s="102"/>
      <c r="O213" s="102"/>
      <c r="P213" s="102"/>
      <c r="Q213" s="102"/>
      <c r="R213" s="102"/>
      <c r="S213" s="36"/>
      <c r="T213" s="43"/>
      <c r="U213" s="101" t="s">
        <v>23</v>
      </c>
      <c r="V213" s="101"/>
      <c r="W213" s="101"/>
      <c r="X213" s="101"/>
      <c r="Y213" s="101"/>
      <c r="Z213" s="112">
        <f>Année_Calendaire</f>
        <v>2018</v>
      </c>
      <c r="AA213" s="112"/>
      <c r="AB213" s="36"/>
      <c r="AC213" s="43"/>
      <c r="AD213" s="102"/>
      <c r="AE213" s="102"/>
      <c r="AF213" s="102"/>
      <c r="AG213" s="102"/>
      <c r="AH213" s="102"/>
      <c r="AI213" s="102"/>
      <c r="AJ213" s="102"/>
      <c r="AK213" s="36"/>
      <c r="AL213" s="43"/>
      <c r="AM213" s="101" t="s">
        <v>23</v>
      </c>
      <c r="AN213" s="101"/>
      <c r="AO213" s="101"/>
      <c r="AP213" s="101"/>
      <c r="AQ213" s="101"/>
      <c r="AR213" s="112">
        <f>Année_Calendaire</f>
        <v>2018</v>
      </c>
      <c r="AS213" s="112"/>
      <c r="AT213" s="36"/>
      <c r="AU213" s="43"/>
      <c r="AV213" s="25"/>
      <c r="AW213" s="25"/>
      <c r="AX213" s="36"/>
    </row>
    <row r="214" spans="1:59" s="22" customFormat="1" ht="29.25" customHeight="1">
      <c r="A214" s="35"/>
      <c r="B214" s="54" t="str">
        <f>IF(C214="",AU195,LEFT(AU195)&amp;MOD(RIGHT(AU195),4)+1)</f>
        <v>c3</v>
      </c>
      <c r="C214" s="100" t="str">
        <f>IF(C215&lt;&gt;"","Lun","")</f>
        <v/>
      </c>
      <c r="D214" s="100" t="str">
        <f>IF(D215&lt;&gt;"","Mar","")</f>
        <v/>
      </c>
      <c r="E214" s="100" t="str">
        <f>IF(E215&lt;&gt;"","Mer","")</f>
        <v/>
      </c>
      <c r="F214" s="100" t="str">
        <f>IF(F215&lt;&gt;"","Jeu","")</f>
        <v/>
      </c>
      <c r="G214" s="100" t="str">
        <f>IF(G215&lt;&gt;"","Ven","")</f>
        <v/>
      </c>
      <c r="H214" s="100" t="str">
        <f>IF(H215&lt;&gt;"","Sam","")</f>
        <v>Sam</v>
      </c>
      <c r="I214" s="100" t="str">
        <f>IF(I215&lt;&gt;"","Dim","")</f>
        <v>Dim</v>
      </c>
      <c r="J214" s="113" t="s">
        <v>25</v>
      </c>
      <c r="K214" s="54" t="str">
        <f>IF(L214="",LEFT(B214)&amp;MOD(RIGHT(B214),5),LEFT(B214)&amp;MOD(RIGHT(B214),4)+1)</f>
        <v>c4</v>
      </c>
      <c r="L214" s="100" t="str">
        <f>IF(L215&lt;&gt;"","Lun","")</f>
        <v>Lun</v>
      </c>
      <c r="M214" s="100" t="str">
        <f>IF(M215&lt;&gt;"","Mar","")</f>
        <v>Mar</v>
      </c>
      <c r="N214" s="100" t="str">
        <f>IF(N215&lt;&gt;"","Mer","")</f>
        <v>Mer</v>
      </c>
      <c r="O214" s="100" t="str">
        <f>IF(O215&lt;&gt;"","Jeu","")</f>
        <v>Jeu</v>
      </c>
      <c r="P214" s="100" t="str">
        <f>IF(P215&lt;&gt;"","Ven","")</f>
        <v>Ven</v>
      </c>
      <c r="Q214" s="100" t="str">
        <f>IF(Q215&lt;&gt;"","Sam","")</f>
        <v>Sam</v>
      </c>
      <c r="R214" s="100" t="str">
        <f>IF(R215&lt;&gt;"","Dim","")</f>
        <v>Dim</v>
      </c>
      <c r="S214" s="113" t="s">
        <v>25</v>
      </c>
      <c r="T214" s="54" t="str">
        <f>IF(U214="",LEFT(K214)&amp;MOD(RIGHT(K214),5),LEFT(K214)&amp;MOD(RIGHT(K214),4)+1)</f>
        <v>c1</v>
      </c>
      <c r="U214" s="100" t="str">
        <f>IF(U215&lt;&gt;"","Lun","")</f>
        <v>Lun</v>
      </c>
      <c r="V214" s="100" t="str">
        <f>IF(V215&lt;&gt;"","Mar","")</f>
        <v>Mar</v>
      </c>
      <c r="W214" s="100" t="str">
        <f>IF(W215&lt;&gt;"","Mer","")</f>
        <v>Mer</v>
      </c>
      <c r="X214" s="100" t="str">
        <f>IF(X215&lt;&gt;"","Jeu","")</f>
        <v>Jeu</v>
      </c>
      <c r="Y214" s="100" t="str">
        <f>IF(Y215&lt;&gt;"","Ven","")</f>
        <v>Ven</v>
      </c>
      <c r="Z214" s="100" t="str">
        <f>IF(Z215&lt;&gt;"","Sam","")</f>
        <v>Sam</v>
      </c>
      <c r="AA214" s="100" t="str">
        <f>IF(AA215&lt;&gt;"","Dim","")</f>
        <v>Dim</v>
      </c>
      <c r="AB214" s="113" t="s">
        <v>25</v>
      </c>
      <c r="AC214" s="54" t="str">
        <f>IF(AD214="",LEFT(T214)&amp;MOD(RIGHT(T214),5),LEFT(T214)&amp;MOD(RIGHT(T214),4)+1)</f>
        <v>c2</v>
      </c>
      <c r="AD214" s="100" t="str">
        <f>IF(AD215&lt;&gt;"","Lun","")</f>
        <v>Lun</v>
      </c>
      <c r="AE214" s="100" t="str">
        <f>IF(AE215&lt;&gt;"","Mar","")</f>
        <v>Mar</v>
      </c>
      <c r="AF214" s="100" t="str">
        <f>IF(AF215&lt;&gt;"","Mer","")</f>
        <v>Mer</v>
      </c>
      <c r="AG214" s="100" t="str">
        <f>IF(AG215&lt;&gt;"","Jeu","")</f>
        <v>Jeu</v>
      </c>
      <c r="AH214" s="100" t="str">
        <f>IF(AH215&lt;&gt;"","Ven","")</f>
        <v>Ven</v>
      </c>
      <c r="AI214" s="100" t="str">
        <f>IF(AI215&lt;&gt;"","Sam","")</f>
        <v>Sam</v>
      </c>
      <c r="AJ214" s="100" t="str">
        <f>IF(AJ215&lt;&gt;"","Dim","")</f>
        <v>Dim</v>
      </c>
      <c r="AK214" s="113" t="s">
        <v>25</v>
      </c>
      <c r="AL214" s="54" t="str">
        <f>IF(AM214="",LEFT(AC214)&amp;MOD(RIGHT(AC214),5),LEFT(AC214)&amp;MOD(RIGHT(AC214),4)+1)</f>
        <v>c3</v>
      </c>
      <c r="AM214" s="100" t="str">
        <f>IF(AM215&lt;&gt;"","Lun","")</f>
        <v>Lun</v>
      </c>
      <c r="AN214" s="100" t="str">
        <f>IF(AN215&lt;&gt;"","Mar","")</f>
        <v>Mar</v>
      </c>
      <c r="AO214" s="100" t="str">
        <f>IF(AO215&lt;&gt;"","Mer","")</f>
        <v>Mer</v>
      </c>
      <c r="AP214" s="100" t="str">
        <f>IF(AP215&lt;&gt;"","Jeu","")</f>
        <v>Jeu</v>
      </c>
      <c r="AQ214" s="100" t="str">
        <f>IF(AQ215&lt;&gt;"","Ven","")</f>
        <v>Ven</v>
      </c>
      <c r="AR214" s="100" t="str">
        <f>IF(AR215&lt;&gt;"","Sam","")</f>
        <v>Sam</v>
      </c>
      <c r="AS214" s="100" t="str">
        <f>IF(AS215&lt;&gt;"","Dim","")</f>
        <v>Dim</v>
      </c>
      <c r="AT214" s="113" t="s">
        <v>25</v>
      </c>
      <c r="AU214" s="54" t="str">
        <f>IF(AV214="",LEFT(AL214)&amp;MOD(RIGHT(AL214),5),LEFT(AL214)&amp;MOD(RIGHT(AL214),4)+1)</f>
        <v>c4</v>
      </c>
      <c r="AV214" s="52" t="str">
        <f>IF(AV215&lt;&gt;"","Lun","")</f>
        <v>Lun</v>
      </c>
      <c r="AW214" s="52" t="str">
        <f>IF(AW215&lt;&gt;"","Mar","")</f>
        <v/>
      </c>
      <c r="AX214" s="113" t="s">
        <v>25</v>
      </c>
      <c r="AY214" s="113" t="s">
        <v>28</v>
      </c>
      <c r="AZ214" s="114">
        <f>AY221+AY222+AY223</f>
        <v>0</v>
      </c>
      <c r="BA214" s="114">
        <f>AZ214+BA195</f>
        <v>0</v>
      </c>
      <c r="BB214" s="38"/>
      <c r="BC214" s="38"/>
      <c r="BD214" s="38"/>
      <c r="BE214" s="38"/>
      <c r="BF214" s="33"/>
    </row>
    <row r="215" spans="1:59" s="24" customFormat="1" ht="15" customHeight="1">
      <c r="A215" s="10"/>
      <c r="B215" s="53"/>
      <c r="C215" s="85" t="str">
        <f>IF(DAY(Déc_Dim1)=1,"",IF(AND(YEAR(Déc_Dim1+1)=Année_Calendaire,MONTH(Déc_Dim1+1)=12),Déc_Dim1+1,""))</f>
        <v/>
      </c>
      <c r="D215" s="85" t="str">
        <f>IF(DAY(Déc_Dim1)=1,"",IF(AND(YEAR(Déc_Dim1+2)=Année_Calendaire,MONTH(Déc_Dim1+2)=12),Déc_Dim1+2,""))</f>
        <v/>
      </c>
      <c r="E215" s="85" t="str">
        <f>IF(DAY(Déc_Dim1)=1,"",IF(AND(YEAR(Déc_Dim1+3)=Année_Calendaire,MONTH(Déc_Dim1+3)=12),Déc_Dim1+3,""))</f>
        <v/>
      </c>
      <c r="F215" s="85" t="str">
        <f>IF(DAY(Déc_Dim1)=1,"",IF(AND(YEAR(Déc_Dim1+4)=Année_Calendaire,MONTH(Déc_Dim1+4)=12),Déc_Dim1+4,""))</f>
        <v/>
      </c>
      <c r="G215" s="85" t="str">
        <f>IF(DAY(Déc_Dim1)=1,"",IF(AND(YEAR(Déc_Dim1+5)=Année_Calendaire,MONTH(Déc_Dim1+5)=12),Déc_Dim1+5,""))</f>
        <v/>
      </c>
      <c r="H215" s="85">
        <f>IF(DAY(Déc_Dim1)=1,"",IF(AND(YEAR(Déc_Dim1+6)=Année_Calendaire,MONTH(Déc_Dim1+6)=12),Déc_Dim1+6,""))</f>
        <v>43435</v>
      </c>
      <c r="I215" s="85">
        <f>IF(DAY(Déc_Dim1)=1,IF(AND(YEAR(Déc_Dim1)=Année_Calendaire,MONTH(Déc_Dim1)=12),Déc_Dim1,""),IF(AND(YEAR(Déc_Dim1+7)=Année_Calendaire,MONTH(Déc_Dim1+7)=12),Déc_Dim1+7,""))</f>
        <v>43436</v>
      </c>
      <c r="J215" s="113"/>
      <c r="K215" s="53"/>
      <c r="L215" s="85">
        <f>IF(DAY(Déc_Dim1)=1,IF(AND(YEAR(Déc_Dim1+1)=Année_Calendaire,MONTH(Déc_Dim1+1)=12),Déc_Dim1+1,""),IF(AND(YEAR(Déc_Dim1+8)=Année_Calendaire,MONTH(Déc_Dim1+8)=12),Déc_Dim1+8,""))</f>
        <v>43437</v>
      </c>
      <c r="M215" s="85">
        <f>IF(DAY(Déc_Dim1)=1,IF(AND(YEAR(Déc_Dim1+2)=Année_Calendaire,MONTH(Déc_Dim1+2)=12),Déc_Dim1+2,""),IF(AND(YEAR(Déc_Dim1+9)=Année_Calendaire,MONTH(Déc_Dim1+9)=12),Déc_Dim1+9,""))</f>
        <v>43438</v>
      </c>
      <c r="N215" s="85">
        <f>IF(DAY(Déc_Dim1)=1,IF(AND(YEAR(Déc_Dim1+3)=Année_Calendaire,MONTH(Déc_Dim1+3)=12),Déc_Dim1+3,""),IF(AND(YEAR(Déc_Dim1+10)=Année_Calendaire,MONTH(Déc_Dim1+10)=12),Déc_Dim1+10,""))</f>
        <v>43439</v>
      </c>
      <c r="O215" s="85">
        <f>IF(DAY(Déc_Dim1)=1,IF(AND(YEAR(Déc_Dim1+4)=Année_Calendaire,MONTH(Déc_Dim1+4)=12),Déc_Dim1+4,""),IF(AND(YEAR(Déc_Dim1+11)=Année_Calendaire,MONTH(Déc_Dim1+11)=12),Déc_Dim1+11,""))</f>
        <v>43440</v>
      </c>
      <c r="P215" s="85">
        <f>IF(DAY(Déc_Dim1)=1,IF(AND(YEAR(Déc_Dim1+5)=Année_Calendaire,MONTH(Déc_Dim1+5)=12),Déc_Dim1+5,""),IF(AND(YEAR(Déc_Dim1+12)=Année_Calendaire,MONTH(Déc_Dim1+12)=12),Déc_Dim1+12,""))</f>
        <v>43441</v>
      </c>
      <c r="Q215" s="85">
        <f>IF(DAY(Déc_Dim1)=1,IF(AND(YEAR(Déc_Dim1+6)=Année_Calendaire,MONTH(Déc_Dim1+6)=12),Déc_Dim1+6,""),IF(AND(YEAR(Déc_Dim1+13)=Année_Calendaire,MONTH(Déc_Dim1+13)=12),Déc_Dim1+13,""))</f>
        <v>43442</v>
      </c>
      <c r="R215" s="85">
        <f>IF(DAY(Déc_Dim1)=1,IF(AND(YEAR(Déc_Dim1+7)=Année_Calendaire,MONTH(Déc_Dim1+7)=12),Déc_Dim1+7,""),IF(AND(YEAR(Déc_Dim1+14)=Année_Calendaire,MONTH(Déc_Dim1+14)=12),Déc_Dim1+14,""))</f>
        <v>43443</v>
      </c>
      <c r="S215" s="113"/>
      <c r="T215" s="53"/>
      <c r="U215" s="85">
        <f>IF(DAY(Déc_Dim1)=1,IF(AND(YEAR(Déc_Dim1+8)=Année_Calendaire,MONTH(Déc_Dim1+8)=12),Déc_Dim1+8,""),IF(AND(YEAR(Déc_Dim1+15)=Année_Calendaire,MONTH(Déc_Dim1+15)=12),Déc_Dim1+15,""))</f>
        <v>43444</v>
      </c>
      <c r="V215" s="85">
        <f>IF(DAY(Déc_Dim1)=1,IF(AND(YEAR(Déc_Dim1+9)=Année_Calendaire,MONTH(Déc_Dim1+9)=12),Déc_Dim1+9,""),IF(AND(YEAR(Déc_Dim1+16)=Année_Calendaire,MONTH(Déc_Dim1+16)=12),Déc_Dim1+16,""))</f>
        <v>43445</v>
      </c>
      <c r="W215" s="85">
        <f>IF(DAY(Déc_Dim1)=1,IF(AND(YEAR(Déc_Dim1+10)=Année_Calendaire,MONTH(Déc_Dim1+10)=12),Déc_Dim1+10,""),IF(AND(YEAR(Déc_Dim1+17)=Année_Calendaire,MONTH(Déc_Dim1+17)=12),Déc_Dim1+17,""))</f>
        <v>43446</v>
      </c>
      <c r="X215" s="85">
        <f>IF(DAY(Déc_Dim1)=1,IF(AND(YEAR(Déc_Dim1+11)=Année_Calendaire,MONTH(Déc_Dim1+11)=12),Déc_Dim1+11,""),IF(AND(YEAR(Déc_Dim1+18)=Année_Calendaire,MONTH(Déc_Dim1+18)=12),Déc_Dim1+18,""))</f>
        <v>43447</v>
      </c>
      <c r="Y215" s="85">
        <f>IF(DAY(Déc_Dim1)=1,IF(AND(YEAR(Déc_Dim1+12)=Année_Calendaire,MONTH(Déc_Dim1+12)=12),Déc_Dim1+12,""),IF(AND(YEAR(Déc_Dim1+19)=Année_Calendaire,MONTH(Déc_Dim1+19)=12),Déc_Dim1+19,""))</f>
        <v>43448</v>
      </c>
      <c r="Z215" s="85">
        <f>IF(DAY(Déc_Dim1)=1,IF(AND(YEAR(Déc_Dim1+13)=Année_Calendaire,MONTH(Déc_Dim1+13)=12),Déc_Dim1+13,""),IF(AND(YEAR(Déc_Dim1+20)=Année_Calendaire,MONTH(Déc_Dim1+20)=12),Déc_Dim1+20,""))</f>
        <v>43449</v>
      </c>
      <c r="AA215" s="85">
        <f>IF(DAY(Déc_Dim1)=1,IF(AND(YEAR(Déc_Dim1+14)=Année_Calendaire,MONTH(Déc_Dim1+14)=12),Déc_Dim1+14,""),IF(AND(YEAR(Déc_Dim1+21)=Année_Calendaire,MONTH(Déc_Dim1+21)=12),Déc_Dim1+21,""))</f>
        <v>43450</v>
      </c>
      <c r="AB215" s="113"/>
      <c r="AC215" s="53"/>
      <c r="AD215" s="85">
        <f>IF(DAY(Déc_Dim1)=1,IF(AND(YEAR(Déc_Dim1+15)=Année_Calendaire,MONTH(Déc_Dim1+15)=12),Déc_Dim1+15,""),IF(AND(YEAR(Déc_Dim1+22)=Année_Calendaire,MONTH(Déc_Dim1+22)=12),Déc_Dim1+22,""))</f>
        <v>43451</v>
      </c>
      <c r="AE215" s="85">
        <f>IF(DAY(Déc_Dim1)=1,IF(AND(YEAR(Déc_Dim1+16)=Année_Calendaire,MONTH(Déc_Dim1+16)=12),Déc_Dim1+16,""),IF(AND(YEAR(Déc_Dim1+23)=Année_Calendaire,MONTH(Déc_Dim1+23)=12),Déc_Dim1+23,""))</f>
        <v>43452</v>
      </c>
      <c r="AF215" s="85">
        <f>IF(DAY(Déc_Dim1)=1,IF(AND(YEAR(Déc_Dim1+17)=Année_Calendaire,MONTH(Déc_Dim1+17)=12),Déc_Dim1+17,""),IF(AND(YEAR(Déc_Dim1+24)=Année_Calendaire,MONTH(Déc_Dim1+24)=12),Déc_Dim1+24,""))</f>
        <v>43453</v>
      </c>
      <c r="AG215" s="85">
        <f>IF(DAY(Déc_Dim1)=1,IF(AND(YEAR(Déc_Dim1+18)=Année_Calendaire,MONTH(Déc_Dim1+18)=12),Déc_Dim1+18,""),IF(AND(YEAR(Déc_Dim1+25)=Année_Calendaire,MONTH(Déc_Dim1+25)=12),Déc_Dim1+25,""))</f>
        <v>43454</v>
      </c>
      <c r="AH215" s="85">
        <f>IF(DAY(Déc_Dim1)=1,IF(AND(YEAR(Déc_Dim1+19)=Année_Calendaire,MONTH(Déc_Dim1+19)=12),Déc_Dim1+19,""),IF(AND(YEAR(Déc_Dim1+26)=Année_Calendaire,MONTH(Déc_Dim1+26)=12),Déc_Dim1+26,""))</f>
        <v>43455</v>
      </c>
      <c r="AI215" s="85">
        <f>IF(DAY(Déc_Dim1)=1,IF(AND(YEAR(Déc_Dim1+20)=Année_Calendaire,MONTH(Déc_Dim1+20)=12),Déc_Dim1+20,""),IF(AND(YEAR(Déc_Dim1+27)=Année_Calendaire,MONTH(Déc_Dim1+27)=12),Déc_Dim1+27,""))</f>
        <v>43456</v>
      </c>
      <c r="AJ215" s="87">
        <f>IF(DAY(Déc_Dim1)=1,IF(AND(YEAR(Déc_Dim1+21)=Année_Calendaire,MONTH(Déc_Dim1+21)=12),Déc_Dim1+21,""),IF(AND(YEAR(Déc_Dim1+28)=Année_Calendaire,MONTH(Déc_Dim1+28)=12),Déc_Dim1+28,""))</f>
        <v>43457</v>
      </c>
      <c r="AK215" s="113"/>
      <c r="AL215" s="53"/>
      <c r="AM215" s="85">
        <f>IF(DAY(Déc_Dim1)=1,IF(AND(YEAR(Déc_Dim1+22)=Année_Calendaire,MONTH(Déc_Dim1+22)=12),Déc_Dim1+22,""),IF(AND(YEAR(Déc_Dim1+29)=Année_Calendaire,MONTH(Déc_Dim1+29)=12),Déc_Dim1+29,""))</f>
        <v>43458</v>
      </c>
      <c r="AN215" s="85">
        <f>IF(DAY(Déc_Dim1)=1,IF(AND(YEAR(Déc_Dim1+23)=Année_Calendaire,MONTH(Déc_Dim1+23)=12),Déc_Dim1+23,""),IF(AND(YEAR(Déc_Dim1+30)=Année_Calendaire,MONTH(Déc_Dim1+30)=12),Déc_Dim1+30,""))</f>
        <v>43459</v>
      </c>
      <c r="AO215" s="85">
        <f>IF(DAY(Déc_Dim1)=1,IF(AND(YEAR(Déc_Dim1+24)=Année_Calendaire,MONTH(Déc_Dim1+24)=12),Déc_Dim1+24,""),IF(AND(YEAR(Déc_Dim1+31)=Année_Calendaire,MONTH(Déc_Dim1+31)=12),Déc_Dim1+31,""))</f>
        <v>43460</v>
      </c>
      <c r="AP215" s="85">
        <f>IF(DAY(Déc_Dim1)=1,IF(AND(YEAR(Déc_Dim1+25)=Année_Calendaire,MONTH(Déc_Dim1+25)=12),Déc_Dim1+25,""),IF(AND(YEAR(Déc_Dim1+32)=Année_Calendaire,MONTH(Déc_Dim1+32)=12),Déc_Dim1+32,""))</f>
        <v>43461</v>
      </c>
      <c r="AQ215" s="85">
        <f>IF(DAY(Déc_Dim1)=1,IF(AND(YEAR(Déc_Dim1+26)=Année_Calendaire,MONTH(Déc_Dim1+26)=12),Déc_Dim1+26,""),IF(AND(YEAR(Déc_Dim1+33)=Année_Calendaire,MONTH(Déc_Dim1+33)=12),Déc_Dim1+33,""))</f>
        <v>43462</v>
      </c>
      <c r="AR215" s="85">
        <f>IF(DAY(Déc_Dim1)=1,IF(AND(YEAR(Déc_Dim1+27)=Année_Calendaire,MONTH(Déc_Dim1+27)=12),Déc_Dim1+27,""),IF(AND(YEAR(Déc_Dim1+34)=Année_Calendaire,MONTH(Déc_Dim1+34)=12),Déc_Dim1+34,""))</f>
        <v>43463</v>
      </c>
      <c r="AS215" s="85">
        <f>IF(DAY(Déc_Dim1)=1,IF(AND(YEAR(Déc_Dim1+28)=Année_Calendaire,MONTH(Déc_Dim1+28)=12),Déc_Dim1+28,""),IF(AND(YEAR(Déc_Dim1+35)=Année_Calendaire,MONTH(Déc_Dim1+35)=12),Déc_Dim1+35,""))</f>
        <v>43464</v>
      </c>
      <c r="AT215" s="113"/>
      <c r="AU215" s="53"/>
      <c r="AV215" s="53">
        <f>IF(DAY(Déc_Dim1)=1,IF(AND(YEAR(Déc_Dim1+29)=Année_Calendaire,MONTH(Déc_Dim1+29)=12),Déc_Dim1+29,""),IF(AND(YEAR(Déc_Dim1+36)=Année_Calendaire,MONTH(Déc_Dim1+36)=12),Déc_Dim1+36,""))</f>
        <v>43465</v>
      </c>
      <c r="AW215" s="53" t="str">
        <f>IF(DAY(Déc_Dim1)=1,IF(AND(YEAR(Déc_Dim1+30)=Année_Calendaire,MONTH(Déc_Dim1+30)=12),Déc_Dim1+30,""),IF(AND(YEAR(Déc_Dim1+37)=Année_Calendaire,MONTH(Déc_Dim1+37)=12),Déc_Dim1+37,""))</f>
        <v/>
      </c>
      <c r="AX215" s="113"/>
      <c r="AY215" s="113"/>
      <c r="AZ215" s="114"/>
      <c r="BA215" s="114"/>
      <c r="BB215" s="31"/>
      <c r="BC215" s="31"/>
      <c r="BD215" s="31"/>
      <c r="BE215" s="31"/>
      <c r="BF215" s="23"/>
    </row>
    <row r="216" spans="1:59" s="5" customFormat="1" ht="15" customHeight="1">
      <c r="A216" s="47" t="s">
        <v>2</v>
      </c>
      <c r="B216" s="47"/>
      <c r="C216" s="48" t="str">
        <f>IF(C215="","",IFERROR(VLOOKUP(B214,DATA!$A$5:$H$9,2,TRUE),0))</f>
        <v/>
      </c>
      <c r="D216" s="48" t="str">
        <f>IF(D215="","",IFERROR(VLOOKUP(B214,DATA!$A$5:$H$9,3,TRUE),0))</f>
        <v/>
      </c>
      <c r="E216" s="48" t="str">
        <f>IF(E215="","",IFERROR(VLOOKUP(B214,DATA!$A$5:$H$9,4,TRUE),0))</f>
        <v/>
      </c>
      <c r="F216" s="48" t="str">
        <f>IF(F215="","",IFERROR(VLOOKUP(B214,DATA!$A$5:$H$9,5,TRUE),0))</f>
        <v/>
      </c>
      <c r="G216" s="48" t="str">
        <f>IF(G215="","",IFERROR(VLOOKUP(B214,DATA!$A$5:$H$9,6,TRUE),0))</f>
        <v/>
      </c>
      <c r="H216" s="48">
        <f>IF(H215="","",IFERROR(VLOOKUP(B214,DATA!$A$5:$H$9,7,TRUE),0))</f>
        <v>0</v>
      </c>
      <c r="I216" s="48">
        <f>IF(I215="","",IFERROR(VLOOKUP(B214,DATA!$A$5:$H$9,8,TRUE),0))</f>
        <v>0</v>
      </c>
      <c r="J216" s="51">
        <f>IF(B214="c1",24,IF((B214="c3"),24,40))</f>
        <v>24</v>
      </c>
      <c r="K216" s="47"/>
      <c r="L216" s="48" t="str">
        <f>IF(L215="","",IFERROR(VLOOKUP(K214,DATA!$A$5:$H$9,2,TRUE),0))</f>
        <v>am</v>
      </c>
      <c r="M216" s="48" t="str">
        <f>IF(M215="","",IFERROR(VLOOKUP(K214,DATA!$A$5:$H$9,3,TRUE),0))</f>
        <v>am</v>
      </c>
      <c r="N216" s="48" t="str">
        <f>IF(N215="","",IFERROR(VLOOKUP(K214,DATA!$A$5:$H$9,4,TRUE),0))</f>
        <v>am</v>
      </c>
      <c r="O216" s="48" t="str">
        <f>IF(O215="","",IFERROR(VLOOKUP(K214,DATA!$A$5:$H$9,5,TRUE),0))</f>
        <v>am</v>
      </c>
      <c r="P216" s="48" t="str">
        <f>IF(P215="","",IFERROR(VLOOKUP(K214,DATA!$A$5:$H$9,6,TRUE),0))</f>
        <v>am</v>
      </c>
      <c r="Q216" s="48">
        <f>IF(Q215="","",IFERROR(VLOOKUP(K214,DATA!$A$5:$H$9,7,TRUE),0))</f>
        <v>0</v>
      </c>
      <c r="R216" s="48">
        <f>IF(R215="","",IFERROR(VLOOKUP(K214,DATA!$A$5:$H$9,8,TRUE),0))</f>
        <v>0</v>
      </c>
      <c r="S216" s="51">
        <f>IF(K214="c1",24,IF((K214="c3"),24,40))</f>
        <v>40</v>
      </c>
      <c r="T216" s="47"/>
      <c r="U216" s="48" t="str">
        <f>IF(U215="","",IFERROR(VLOOKUP(T214,DATA!$A$5:$H$9,2,TRUE),0))</f>
        <v>matin</v>
      </c>
      <c r="V216" s="48" t="str">
        <f>IF(V215="","",IFERROR(VLOOKUP(T214,DATA!$A$5:$H$9,3,TRUE),0))</f>
        <v>matin</v>
      </c>
      <c r="W216" s="48" t="str">
        <f>IF(W215="","",IFERROR(VLOOKUP(T214,DATA!$A$5:$H$9,4,TRUE),0))</f>
        <v>matin</v>
      </c>
      <c r="X216" s="48">
        <f>IF(X215="","",IFERROR(VLOOKUP(T214,DATA!$A$5:$H$9,5,TRUE),0))</f>
        <v>0</v>
      </c>
      <c r="Y216" s="48">
        <f>IF(Y215="","",IFERROR(VLOOKUP(T214,DATA!$A$5:$H$9,6,TRUE),0))</f>
        <v>0</v>
      </c>
      <c r="Z216" s="48">
        <f>IF(Z215="","",IFERROR(VLOOKUP(T214,DATA!$A$5:$H$9,7,TRUE),0))</f>
        <v>0</v>
      </c>
      <c r="AA216" s="48">
        <f>IF(AA215="","",IFERROR(VLOOKUP(T214,DATA!$A$5:$H$9,8,TRUE),0))</f>
        <v>0</v>
      </c>
      <c r="AB216" s="51">
        <f>IF(T214="c1",24,IF((T214="c3"),24,40))</f>
        <v>24</v>
      </c>
      <c r="AC216" s="47"/>
      <c r="AD216" s="48" t="str">
        <f>IF(AD215="","",IFERROR(VLOOKUP(AC214,DATA!$A$5:$H$9,2,TRUE),0))</f>
        <v>nuit</v>
      </c>
      <c r="AE216" s="48" t="str">
        <f>IF(AE215="","",IFERROR(VLOOKUP(AC214,DATA!$A$5:$H$9,3,TRUE),0))</f>
        <v>nuit</v>
      </c>
      <c r="AF216" s="48" t="str">
        <f>IF(AF215="","",IFERROR(VLOOKUP(AC214,DATA!$A$5:$H$9,4,TRUE),0))</f>
        <v>nuit</v>
      </c>
      <c r="AG216" s="48" t="str">
        <f>IF(AG215="","",IFERROR(VLOOKUP(AC214,DATA!$A$5:$H$9,5,TRUE),0))</f>
        <v>nuit</v>
      </c>
      <c r="AH216" s="48" t="str">
        <f>IF(AH215="","",IFERROR(VLOOKUP(AC214,DATA!$A$5:$H$9,6,TRUE),0))</f>
        <v>nuit</v>
      </c>
      <c r="AI216" s="48">
        <f>IF(AI215="","",IFERROR(VLOOKUP(AC214,DATA!$A$5:$H$9,7,TRUE),0))</f>
        <v>0</v>
      </c>
      <c r="AJ216" s="48">
        <f>IF(AJ215="","",IFERROR(VLOOKUP(AC214,DATA!$A$5:$H$9,8,TRUE),0))</f>
        <v>0</v>
      </c>
      <c r="AK216" s="51">
        <f>IF(AC214="c1",24,IF((AC214="c3"),24,40))</f>
        <v>40</v>
      </c>
      <c r="AL216" s="47"/>
      <c r="AM216" s="48" t="str">
        <f>IF(AM215="","",IFERROR(VLOOKUP(AL214,DATA!$A$5:$H$9,2,TRUE),0))</f>
        <v>matin</v>
      </c>
      <c r="AN216" s="48">
        <f>IF(AN215="","",IFERROR(VLOOKUP(AL214,DATA!$A$5:$H$9,3,TRUE),0))</f>
        <v>0</v>
      </c>
      <c r="AO216" s="48">
        <f>IF(AO215="","",IFERROR(VLOOKUP(AL214,DATA!$A$5:$H$9,4,TRUE),0))</f>
        <v>0</v>
      </c>
      <c r="AP216" s="48" t="str">
        <f>IF(AP215="","",IFERROR(VLOOKUP(AL214,DATA!$A$5:$H$9,5,TRUE),0))</f>
        <v>matin</v>
      </c>
      <c r="AQ216" s="48" t="str">
        <f>IF(AQ215="","",IFERROR(VLOOKUP(AL214,DATA!$A$5:$H$9,6,TRUE),0))</f>
        <v>matin</v>
      </c>
      <c r="AR216" s="48">
        <f>IF(AR215="","",IFERROR(VLOOKUP(AL214,DATA!$A$5:$H$9,7,TRUE),0))</f>
        <v>0</v>
      </c>
      <c r="AS216" s="48">
        <f>IF(AS215="","",IFERROR(VLOOKUP(AL214,DATA!$A$5:$H$9,8,TRUE),0))</f>
        <v>0</v>
      </c>
      <c r="AT216" s="51">
        <f>IF(AL214="c1",24,IF((AL214="c3"),24,40))</f>
        <v>24</v>
      </c>
      <c r="AU216" s="47"/>
      <c r="AV216" s="48" t="str">
        <f>IF(AV215="","",IFERROR(VLOOKUP(AU214,DATA!$A$5:$H$9,2,TRUE),0))</f>
        <v>am</v>
      </c>
      <c r="AW216" s="48" t="str">
        <f>IF(AW215="","",IFERROR(VLOOKUP(AU214,DATA!$A$5:$H$9,3,TRUE),0))</f>
        <v/>
      </c>
      <c r="AX216" s="51">
        <f>IF(AP214="c1",24,IF((AP214="c3"),24,40))</f>
        <v>40</v>
      </c>
      <c r="AY216" s="49"/>
      <c r="AZ216" s="39"/>
      <c r="BA216" s="39"/>
      <c r="BB216" s="39"/>
      <c r="BC216" s="39"/>
      <c r="BD216" s="39"/>
      <c r="BE216" s="39"/>
      <c r="BF216" s="29"/>
    </row>
    <row r="217" spans="1:59" s="27" customFormat="1" ht="15" customHeight="1">
      <c r="A217" s="50" t="s">
        <v>12</v>
      </c>
      <c r="B217" s="50"/>
      <c r="C217" s="51">
        <f t="shared" ref="C217:I217" si="472">IF(C216="Matin",1,IF(C216="AM",1,0))</f>
        <v>0</v>
      </c>
      <c r="D217" s="51">
        <f t="shared" si="472"/>
        <v>0</v>
      </c>
      <c r="E217" s="51">
        <f t="shared" si="472"/>
        <v>0</v>
      </c>
      <c r="F217" s="51">
        <f t="shared" si="472"/>
        <v>0</v>
      </c>
      <c r="G217" s="51">
        <f t="shared" si="472"/>
        <v>0</v>
      </c>
      <c r="H217" s="51">
        <f t="shared" si="472"/>
        <v>0</v>
      </c>
      <c r="I217" s="51">
        <f t="shared" si="472"/>
        <v>0</v>
      </c>
      <c r="J217" s="51">
        <f>SUM(C217:I217)</f>
        <v>0</v>
      </c>
      <c r="K217" s="50"/>
      <c r="L217" s="51">
        <f t="shared" ref="L217:R217" si="473">IF(L216="Matin",1,IF(L216="AM",1,0))</f>
        <v>1</v>
      </c>
      <c r="M217" s="51">
        <f t="shared" si="473"/>
        <v>1</v>
      </c>
      <c r="N217" s="51">
        <f t="shared" si="473"/>
        <v>1</v>
      </c>
      <c r="O217" s="51">
        <f t="shared" si="473"/>
        <v>1</v>
      </c>
      <c r="P217" s="51">
        <f t="shared" si="473"/>
        <v>1</v>
      </c>
      <c r="Q217" s="51">
        <f t="shared" si="473"/>
        <v>0</v>
      </c>
      <c r="R217" s="51">
        <f t="shared" si="473"/>
        <v>0</v>
      </c>
      <c r="S217" s="51">
        <f>SUM(L217:R217)</f>
        <v>5</v>
      </c>
      <c r="T217" s="50"/>
      <c r="U217" s="51">
        <f t="shared" ref="U217:AA217" si="474">IF(U216="Matin",1,IF(U216="AM",1,0))</f>
        <v>1</v>
      </c>
      <c r="V217" s="51">
        <f t="shared" si="474"/>
        <v>1</v>
      </c>
      <c r="W217" s="51">
        <f t="shared" si="474"/>
        <v>1</v>
      </c>
      <c r="X217" s="51">
        <f t="shared" si="474"/>
        <v>0</v>
      </c>
      <c r="Y217" s="51">
        <f t="shared" si="474"/>
        <v>0</v>
      </c>
      <c r="Z217" s="51">
        <f t="shared" si="474"/>
        <v>0</v>
      </c>
      <c r="AA217" s="51">
        <f t="shared" si="474"/>
        <v>0</v>
      </c>
      <c r="AB217" s="51">
        <f>SUM(U217:AA217)</f>
        <v>3</v>
      </c>
      <c r="AC217" s="50"/>
      <c r="AD217" s="51">
        <f t="shared" ref="AD217:AJ217" si="475">IF(AD216="Matin",1,IF(AD216="AM",1,0))</f>
        <v>0</v>
      </c>
      <c r="AE217" s="51">
        <f t="shared" si="475"/>
        <v>0</v>
      </c>
      <c r="AF217" s="51">
        <f t="shared" si="475"/>
        <v>0</v>
      </c>
      <c r="AG217" s="51">
        <f t="shared" si="475"/>
        <v>0</v>
      </c>
      <c r="AH217" s="51">
        <f t="shared" si="475"/>
        <v>0</v>
      </c>
      <c r="AI217" s="51">
        <f t="shared" si="475"/>
        <v>0</v>
      </c>
      <c r="AJ217" s="51">
        <f t="shared" si="475"/>
        <v>0</v>
      </c>
      <c r="AK217" s="51">
        <f>SUM(AD217:AJ217)</f>
        <v>0</v>
      </c>
      <c r="AL217" s="50"/>
      <c r="AM217" s="51">
        <f t="shared" ref="AM217:AS217" si="476">IF(AM216="Matin",1,IF(AM216="AM",1,0))</f>
        <v>1</v>
      </c>
      <c r="AN217" s="51">
        <f t="shared" si="476"/>
        <v>0</v>
      </c>
      <c r="AO217" s="51">
        <f t="shared" si="476"/>
        <v>0</v>
      </c>
      <c r="AP217" s="51">
        <f t="shared" si="476"/>
        <v>1</v>
      </c>
      <c r="AQ217" s="51">
        <f t="shared" si="476"/>
        <v>1</v>
      </c>
      <c r="AR217" s="51">
        <f t="shared" si="476"/>
        <v>0</v>
      </c>
      <c r="AS217" s="51">
        <f t="shared" si="476"/>
        <v>0</v>
      </c>
      <c r="AT217" s="51">
        <f>SUM(AM217:AS217)</f>
        <v>3</v>
      </c>
      <c r="AU217" s="50"/>
      <c r="AV217" s="51">
        <f t="shared" ref="AV217:AW217" si="477">IF(AV216="Matin",1,IF(AV216="AM",1,0))</f>
        <v>1</v>
      </c>
      <c r="AW217" s="51">
        <f t="shared" si="477"/>
        <v>0</v>
      </c>
      <c r="AX217" s="51">
        <f>SUM(AV217:AW217)</f>
        <v>1</v>
      </c>
      <c r="AY217" s="51">
        <f>J217+S217+AB217+AK217+AT217+AX217</f>
        <v>12</v>
      </c>
      <c r="AZ217" s="25"/>
      <c r="BA217" s="25"/>
      <c r="BB217" s="25"/>
      <c r="BC217" s="25"/>
      <c r="BD217" s="25"/>
      <c r="BE217" s="25"/>
      <c r="BF217" s="25"/>
      <c r="BG217" s="28"/>
    </row>
    <row r="218" spans="1:59" s="27" customFormat="1" ht="15" customHeight="1">
      <c r="A218" s="47" t="s">
        <v>4</v>
      </c>
      <c r="B218" s="47"/>
      <c r="C218" s="48">
        <f>IF(C219&gt;=1,1,0)</f>
        <v>0</v>
      </c>
      <c r="D218" s="48">
        <f>IF(D219&gt;=1,1,0)</f>
        <v>0</v>
      </c>
      <c r="E218" s="48">
        <f t="shared" ref="E218:I218" si="478">IF(E219&gt;=1,1,0)</f>
        <v>0</v>
      </c>
      <c r="F218" s="48">
        <f t="shared" si="478"/>
        <v>0</v>
      </c>
      <c r="G218" s="48">
        <f t="shared" si="478"/>
        <v>0</v>
      </c>
      <c r="H218" s="48">
        <f t="shared" si="478"/>
        <v>0</v>
      </c>
      <c r="I218" s="48">
        <f t="shared" si="478"/>
        <v>0</v>
      </c>
      <c r="J218" s="51">
        <f t="shared" ref="J218:J223" si="479">SUM(C218:I218)</f>
        <v>0</v>
      </c>
      <c r="K218" s="47"/>
      <c r="L218" s="48">
        <f>IF(L219&gt;=1,1,0)</f>
        <v>1</v>
      </c>
      <c r="M218" s="48">
        <f t="shared" ref="M218:R218" si="480">IF(M219&gt;=1,1,0)</f>
        <v>1</v>
      </c>
      <c r="N218" s="48">
        <f t="shared" si="480"/>
        <v>1</v>
      </c>
      <c r="O218" s="48">
        <f t="shared" si="480"/>
        <v>1</v>
      </c>
      <c r="P218" s="48">
        <f t="shared" si="480"/>
        <v>1</v>
      </c>
      <c r="Q218" s="48">
        <f t="shared" si="480"/>
        <v>0</v>
      </c>
      <c r="R218" s="48">
        <f t="shared" si="480"/>
        <v>0</v>
      </c>
      <c r="S218" s="51">
        <f t="shared" ref="S218:S223" si="481">SUM(L218:R218)</f>
        <v>5</v>
      </c>
      <c r="T218" s="47"/>
      <c r="U218" s="48">
        <f>IF(U219&gt;=1,1,0)</f>
        <v>1</v>
      </c>
      <c r="V218" s="48">
        <f t="shared" ref="V218:AA218" si="482">IF(V219&gt;=1,1,0)</f>
        <v>1</v>
      </c>
      <c r="W218" s="48">
        <f t="shared" si="482"/>
        <v>1</v>
      </c>
      <c r="X218" s="48">
        <f t="shared" si="482"/>
        <v>0</v>
      </c>
      <c r="Y218" s="48">
        <f t="shared" si="482"/>
        <v>0</v>
      </c>
      <c r="Z218" s="48">
        <f t="shared" si="482"/>
        <v>0</v>
      </c>
      <c r="AA218" s="48">
        <f t="shared" si="482"/>
        <v>0</v>
      </c>
      <c r="AB218" s="51">
        <f t="shared" ref="AB218:AB223" si="483">SUM(U218:AA218)</f>
        <v>3</v>
      </c>
      <c r="AC218" s="47"/>
      <c r="AD218" s="48">
        <f>IF(AD219&gt;=1,1,0)</f>
        <v>1</v>
      </c>
      <c r="AE218" s="48">
        <f t="shared" ref="AE218:AJ218" si="484">IF(AE219&gt;=1,1,0)</f>
        <v>1</v>
      </c>
      <c r="AF218" s="48">
        <f t="shared" si="484"/>
        <v>1</v>
      </c>
      <c r="AG218" s="48">
        <f t="shared" si="484"/>
        <v>1</v>
      </c>
      <c r="AH218" s="48">
        <f t="shared" si="484"/>
        <v>1</v>
      </c>
      <c r="AI218" s="48">
        <f t="shared" si="484"/>
        <v>0</v>
      </c>
      <c r="AJ218" s="48">
        <f t="shared" si="484"/>
        <v>0</v>
      </c>
      <c r="AK218" s="51">
        <f t="shared" ref="AK218:AK223" si="485">SUM(AD218:AJ218)</f>
        <v>5</v>
      </c>
      <c r="AL218" s="47"/>
      <c r="AM218" s="48">
        <f>IF(AM219&gt;=1,1,0)</f>
        <v>1</v>
      </c>
      <c r="AN218" s="48">
        <f t="shared" ref="AN218:AS218" si="486">IF(AN219&gt;=1,1,0)</f>
        <v>0</v>
      </c>
      <c r="AO218" s="48">
        <f t="shared" si="486"/>
        <v>0</v>
      </c>
      <c r="AP218" s="48">
        <f t="shared" si="486"/>
        <v>1</v>
      </c>
      <c r="AQ218" s="48">
        <f t="shared" si="486"/>
        <v>1</v>
      </c>
      <c r="AR218" s="48">
        <f t="shared" si="486"/>
        <v>0</v>
      </c>
      <c r="AS218" s="48">
        <f t="shared" si="486"/>
        <v>0</v>
      </c>
      <c r="AT218" s="51">
        <f t="shared" ref="AT218:AT223" si="487">SUM(AM218:AS218)</f>
        <v>3</v>
      </c>
      <c r="AU218" s="47"/>
      <c r="AV218" s="48">
        <f>IF(AV219&gt;=1,1,0)</f>
        <v>1</v>
      </c>
      <c r="AW218" s="48">
        <f t="shared" ref="AW218" si="488">IF(AW219&gt;=1,1,0)</f>
        <v>0</v>
      </c>
      <c r="AX218" s="51">
        <f>SUM(AV218:AW218)</f>
        <v>1</v>
      </c>
      <c r="AY218" s="48">
        <f t="shared" ref="AY218:AY227" si="489">J218+S218+AB218+AK218+AT218+AX218</f>
        <v>17</v>
      </c>
      <c r="AZ218" s="39"/>
      <c r="BA218" s="39"/>
      <c r="BB218" s="39"/>
      <c r="BC218" s="39"/>
      <c r="BD218" s="39"/>
      <c r="BE218" s="39"/>
      <c r="BF218" s="29"/>
    </row>
    <row r="219" spans="1:59" s="27" customFormat="1" ht="15" customHeight="1">
      <c r="A219" s="50" t="s">
        <v>3</v>
      </c>
      <c r="B219" s="50"/>
      <c r="C219" s="51">
        <f>IF(C216="Matin",8,IF(C216="AM",8,IF(C216="nuit",8,0)))</f>
        <v>0</v>
      </c>
      <c r="D219" s="51">
        <f t="shared" ref="D219:I219" si="490">IF(D216="Matin",8,IF(D216="AM",8,IF(D216="nuit",8,0)))</f>
        <v>0</v>
      </c>
      <c r="E219" s="51">
        <f t="shared" si="490"/>
        <v>0</v>
      </c>
      <c r="F219" s="51">
        <f t="shared" si="490"/>
        <v>0</v>
      </c>
      <c r="G219" s="51">
        <f t="shared" si="490"/>
        <v>0</v>
      </c>
      <c r="H219" s="51">
        <f t="shared" si="490"/>
        <v>0</v>
      </c>
      <c r="I219" s="51">
        <f t="shared" si="490"/>
        <v>0</v>
      </c>
      <c r="J219" s="51">
        <f t="shared" si="479"/>
        <v>0</v>
      </c>
      <c r="K219" s="50"/>
      <c r="L219" s="51">
        <f>IF(L216="Matin",8,IF(L216="AM",8,IF(L216="nuit",8,0)))</f>
        <v>8</v>
      </c>
      <c r="M219" s="51">
        <f t="shared" ref="M219:R219" si="491">IF(M216="Matin",8,IF(M216="AM",8,IF(M216="nuit",8,0)))</f>
        <v>8</v>
      </c>
      <c r="N219" s="51">
        <f t="shared" si="491"/>
        <v>8</v>
      </c>
      <c r="O219" s="51">
        <f t="shared" si="491"/>
        <v>8</v>
      </c>
      <c r="P219" s="51">
        <f t="shared" si="491"/>
        <v>8</v>
      </c>
      <c r="Q219" s="51">
        <f t="shared" si="491"/>
        <v>0</v>
      </c>
      <c r="R219" s="51">
        <f t="shared" si="491"/>
        <v>0</v>
      </c>
      <c r="S219" s="51">
        <f t="shared" si="481"/>
        <v>40</v>
      </c>
      <c r="T219" s="50"/>
      <c r="U219" s="51">
        <f>IF(U216="Matin",8,IF(U216="AM",8,IF(U216="nuit",8,0)))</f>
        <v>8</v>
      </c>
      <c r="V219" s="51">
        <f t="shared" ref="V219:AA219" si="492">IF(V216="Matin",8,IF(V216="AM",8,IF(V216="nuit",8,0)))</f>
        <v>8</v>
      </c>
      <c r="W219" s="51">
        <f t="shared" si="492"/>
        <v>8</v>
      </c>
      <c r="X219" s="51">
        <f t="shared" si="492"/>
        <v>0</v>
      </c>
      <c r="Y219" s="51">
        <f t="shared" si="492"/>
        <v>0</v>
      </c>
      <c r="Z219" s="51">
        <f t="shared" si="492"/>
        <v>0</v>
      </c>
      <c r="AA219" s="51">
        <f t="shared" si="492"/>
        <v>0</v>
      </c>
      <c r="AB219" s="51">
        <f t="shared" si="483"/>
        <v>24</v>
      </c>
      <c r="AC219" s="50"/>
      <c r="AD219" s="51">
        <f>IF(AD216="Matin",8,IF(AD216="AM",8,IF(AD216="nuit",8,0)))</f>
        <v>8</v>
      </c>
      <c r="AE219" s="51">
        <f t="shared" ref="AE219:AJ219" si="493">IF(AE216="Matin",8,IF(AE216="AM",8,IF(AE216="nuit",8,0)))</f>
        <v>8</v>
      </c>
      <c r="AF219" s="51">
        <f t="shared" si="493"/>
        <v>8</v>
      </c>
      <c r="AG219" s="51">
        <f t="shared" si="493"/>
        <v>8</v>
      </c>
      <c r="AH219" s="51">
        <f t="shared" si="493"/>
        <v>8</v>
      </c>
      <c r="AI219" s="51">
        <f t="shared" si="493"/>
        <v>0</v>
      </c>
      <c r="AJ219" s="51">
        <f t="shared" si="493"/>
        <v>0</v>
      </c>
      <c r="AK219" s="51">
        <f t="shared" si="485"/>
        <v>40</v>
      </c>
      <c r="AL219" s="50"/>
      <c r="AM219" s="51">
        <f>IF(AM216="Matin",8,IF(AM216="AM",8,IF(AM216="nuit",8,0)))</f>
        <v>8</v>
      </c>
      <c r="AN219" s="51">
        <f t="shared" ref="AN219:AS219" si="494">IF(AN216="Matin",8,IF(AN216="AM",8,IF(AN216="nuit",8,0)))</f>
        <v>0</v>
      </c>
      <c r="AO219" s="51">
        <f t="shared" si="494"/>
        <v>0</v>
      </c>
      <c r="AP219" s="51">
        <f t="shared" si="494"/>
        <v>8</v>
      </c>
      <c r="AQ219" s="51">
        <f t="shared" si="494"/>
        <v>8</v>
      </c>
      <c r="AR219" s="51">
        <f t="shared" si="494"/>
        <v>0</v>
      </c>
      <c r="AS219" s="51">
        <f t="shared" si="494"/>
        <v>0</v>
      </c>
      <c r="AT219" s="51">
        <f t="shared" si="487"/>
        <v>24</v>
      </c>
      <c r="AU219" s="50"/>
      <c r="AV219" s="51">
        <f>IF(AV216="Matin",8,IF(AV216="AM",8,IF(AV216="nuit",8,0)))</f>
        <v>8</v>
      </c>
      <c r="AW219" s="51">
        <f t="shared" ref="AW219" si="495">IF(AW216="Matin",8,IF(AW216="AM",8,IF(AW216="nuit",8,0)))</f>
        <v>0</v>
      </c>
      <c r="AX219" s="51">
        <f>SUM(AV219:AW219)</f>
        <v>8</v>
      </c>
      <c r="AY219" s="51">
        <f t="shared" si="489"/>
        <v>136</v>
      </c>
      <c r="AZ219" s="25"/>
      <c r="BA219" s="25"/>
      <c r="BB219" s="25"/>
      <c r="BC219" s="25"/>
      <c r="BD219" s="25"/>
      <c r="BE219" s="25"/>
      <c r="BF219" s="25"/>
      <c r="BG219" s="28"/>
    </row>
    <row r="220" spans="1:59" s="5" customFormat="1" ht="15" customHeight="1">
      <c r="A220" s="47" t="s">
        <v>13</v>
      </c>
      <c r="B220" s="47"/>
      <c r="C220" s="48"/>
      <c r="D220" s="48"/>
      <c r="E220" s="48"/>
      <c r="F220" s="48"/>
      <c r="G220" s="48"/>
      <c r="H220" s="48"/>
      <c r="I220" s="48"/>
      <c r="J220" s="51">
        <f>MAX(MIN(DATA!$D$22-DATA!$C$22,Travail!J219-Travail!J216-I219),0)</f>
        <v>0</v>
      </c>
      <c r="K220" s="47"/>
      <c r="L220" s="48"/>
      <c r="M220" s="48"/>
      <c r="N220" s="48"/>
      <c r="O220" s="48"/>
      <c r="P220" s="48"/>
      <c r="Q220" s="48"/>
      <c r="R220" s="48"/>
      <c r="S220" s="51">
        <f>MAX(MIN(DATA!$D$22-DATA!$C$22,Travail!S219-Travail!S216-R219),0)</f>
        <v>0</v>
      </c>
      <c r="T220" s="47"/>
      <c r="U220" s="48"/>
      <c r="V220" s="48"/>
      <c r="W220" s="48"/>
      <c r="X220" s="48"/>
      <c r="Y220" s="48"/>
      <c r="Z220" s="48"/>
      <c r="AA220" s="48"/>
      <c r="AB220" s="51">
        <f>MAX(MIN(DATA!$D$22-DATA!$C$22,Travail!AB219-Travail!AB216-AA219),0)</f>
        <v>0</v>
      </c>
      <c r="AC220" s="47"/>
      <c r="AD220" s="48"/>
      <c r="AE220" s="48"/>
      <c r="AF220" s="48"/>
      <c r="AG220" s="48"/>
      <c r="AH220" s="48"/>
      <c r="AI220" s="48"/>
      <c r="AJ220" s="48"/>
      <c r="AK220" s="51">
        <f>MAX(MIN(DATA!$D$22-DATA!$C$22,Travail!AK219-Travail!AK216-AJ219),0)</f>
        <v>0</v>
      </c>
      <c r="AL220" s="47"/>
      <c r="AM220" s="48"/>
      <c r="AN220" s="48"/>
      <c r="AO220" s="48"/>
      <c r="AP220" s="48"/>
      <c r="AQ220" s="48"/>
      <c r="AR220" s="48"/>
      <c r="AS220" s="48"/>
      <c r="AT220" s="51">
        <f>MAX(MIN(DATA!$D$22-DATA!$C$22,Travail!AT219-Travail!AT216-AS219),0)</f>
        <v>0</v>
      </c>
      <c r="AU220" s="47"/>
      <c r="AV220" s="48"/>
      <c r="AW220" s="48"/>
      <c r="AX220" s="51">
        <f>MAX(MIN(DATA!$D$22-DATA!$C$22,Travail!AX219-Travail!AX216),0)</f>
        <v>0</v>
      </c>
      <c r="AY220" s="49">
        <f t="shared" si="489"/>
        <v>0</v>
      </c>
      <c r="AZ220" s="39"/>
      <c r="BA220" s="39"/>
      <c r="BB220" s="39"/>
      <c r="BC220" s="39"/>
      <c r="BD220" s="39"/>
      <c r="BE220" s="39"/>
      <c r="BF220" s="29"/>
    </row>
    <row r="221" spans="1:59" s="27" customFormat="1" ht="15" customHeight="1">
      <c r="A221" s="50" t="s">
        <v>6</v>
      </c>
      <c r="B221" s="50"/>
      <c r="C221" s="51"/>
      <c r="D221" s="51"/>
      <c r="E221" s="51"/>
      <c r="F221" s="51"/>
      <c r="G221" s="51"/>
      <c r="H221" s="51"/>
      <c r="I221" s="51"/>
      <c r="J221" s="51">
        <f>MAX(MIN(DATA!$E$22-DATA!$D$22,Travail!J219-Travail!J216-Travail!J220-I219),0)</f>
        <v>0</v>
      </c>
      <c r="K221" s="50"/>
      <c r="L221" s="51"/>
      <c r="M221" s="51"/>
      <c r="N221" s="51"/>
      <c r="O221" s="51"/>
      <c r="P221" s="51"/>
      <c r="Q221" s="51"/>
      <c r="R221" s="51"/>
      <c r="S221" s="51">
        <f>MAX(MIN(DATA!$E$22-DATA!$D$22,Travail!S219-Travail!S216-Travail!S220-R219),0)</f>
        <v>0</v>
      </c>
      <c r="T221" s="50"/>
      <c r="U221" s="51"/>
      <c r="V221" s="51"/>
      <c r="W221" s="51"/>
      <c r="X221" s="51"/>
      <c r="Y221" s="51"/>
      <c r="Z221" s="51"/>
      <c r="AA221" s="51"/>
      <c r="AB221" s="51">
        <f>MAX(MIN(DATA!$E$22-DATA!$D$22,Travail!AB219-Travail!AB216-Travail!AB220-AA219),0)</f>
        <v>0</v>
      </c>
      <c r="AC221" s="50"/>
      <c r="AD221" s="51"/>
      <c r="AE221" s="51"/>
      <c r="AF221" s="51"/>
      <c r="AG221" s="51"/>
      <c r="AH221" s="51"/>
      <c r="AI221" s="51"/>
      <c r="AJ221" s="51"/>
      <c r="AK221" s="51">
        <f>MAX(MIN(DATA!$E$22-DATA!$D$22,Travail!AK219-Travail!AK216-Travail!AK220-AJ219),0)</f>
        <v>0</v>
      </c>
      <c r="AL221" s="50"/>
      <c r="AM221" s="51"/>
      <c r="AN221" s="51"/>
      <c r="AO221" s="51"/>
      <c r="AP221" s="51"/>
      <c r="AQ221" s="51"/>
      <c r="AR221" s="51"/>
      <c r="AS221" s="51"/>
      <c r="AT221" s="51">
        <f>MAX(MIN(DATA!$E$22-DATA!$D$22,Travail!AT219-Travail!AT216-Travail!AT220-AS219),0)</f>
        <v>0</v>
      </c>
      <c r="AU221" s="50"/>
      <c r="AV221" s="51"/>
      <c r="AW221" s="51"/>
      <c r="AX221" s="51">
        <f>MAX(MIN(DATA!$E$22-DATA!$D$22,Travail!AX219-Travail!AX216-Travail!AX220),0)</f>
        <v>0</v>
      </c>
      <c r="AY221" s="51">
        <f t="shared" si="489"/>
        <v>0</v>
      </c>
      <c r="AZ221" s="25"/>
      <c r="BA221" s="25"/>
      <c r="BB221" s="25"/>
      <c r="BC221" s="25"/>
      <c r="BD221" s="25"/>
      <c r="BE221" s="25"/>
      <c r="BF221" s="25"/>
      <c r="BG221" s="28"/>
    </row>
    <row r="222" spans="1:59" s="5" customFormat="1" ht="15" customHeight="1">
      <c r="A222" s="47" t="s">
        <v>5</v>
      </c>
      <c r="B222" s="47"/>
      <c r="C222" s="48"/>
      <c r="D222" s="48"/>
      <c r="E222" s="48"/>
      <c r="F222" s="48"/>
      <c r="G222" s="48"/>
      <c r="H222" s="48"/>
      <c r="I222" s="48"/>
      <c r="J222" s="51">
        <f>MAX(J219-J216-J221-J220-J223,0)</f>
        <v>0</v>
      </c>
      <c r="K222" s="47"/>
      <c r="L222" s="48"/>
      <c r="M222" s="48"/>
      <c r="N222" s="48"/>
      <c r="O222" s="48"/>
      <c r="P222" s="48"/>
      <c r="Q222" s="48"/>
      <c r="R222" s="48"/>
      <c r="S222" s="51">
        <f>MAX(S219-S216-S221-S220-S223,0)</f>
        <v>0</v>
      </c>
      <c r="T222" s="47"/>
      <c r="U222" s="48"/>
      <c r="V222" s="48"/>
      <c r="W222" s="48"/>
      <c r="X222" s="48"/>
      <c r="Y222" s="48"/>
      <c r="Z222" s="48"/>
      <c r="AA222" s="48"/>
      <c r="AB222" s="51">
        <f>MAX(AB219-AB216-AB221-AB220-AB223,0)</f>
        <v>0</v>
      </c>
      <c r="AC222" s="47"/>
      <c r="AD222" s="48"/>
      <c r="AE222" s="48"/>
      <c r="AF222" s="48"/>
      <c r="AG222" s="48"/>
      <c r="AH222" s="48"/>
      <c r="AI222" s="48"/>
      <c r="AJ222" s="48"/>
      <c r="AK222" s="51">
        <f>MAX(AK219-AK216-AK221-AK220-AK223,0)</f>
        <v>0</v>
      </c>
      <c r="AL222" s="47"/>
      <c r="AM222" s="48"/>
      <c r="AN222" s="48"/>
      <c r="AO222" s="48"/>
      <c r="AP222" s="48"/>
      <c r="AQ222" s="48"/>
      <c r="AR222" s="48"/>
      <c r="AS222" s="48"/>
      <c r="AT222" s="51">
        <f>MAX(AT219-AT216-AT221-AT220-AT223,0)</f>
        <v>0</v>
      </c>
      <c r="AU222" s="47"/>
      <c r="AV222" s="48"/>
      <c r="AW222" s="48"/>
      <c r="AX222" s="97">
        <f>MAX(AX219-AX216-AX221-AX220,0)</f>
        <v>0</v>
      </c>
      <c r="AY222" s="49">
        <f t="shared" si="489"/>
        <v>0</v>
      </c>
      <c r="AZ222" s="39"/>
      <c r="BA222" s="39"/>
      <c r="BB222" s="39"/>
      <c r="BC222" s="39"/>
      <c r="BD222" s="39"/>
      <c r="BE222" s="39"/>
      <c r="BF222" s="29"/>
    </row>
    <row r="223" spans="1:59" s="27" customFormat="1" ht="15" customHeight="1">
      <c r="A223" s="50" t="s">
        <v>7</v>
      </c>
      <c r="B223" s="50"/>
      <c r="C223" s="51">
        <f>IF(C214="Dim",C219,IF(C229="ferie",C219,0))</f>
        <v>0</v>
      </c>
      <c r="D223" s="51">
        <f t="shared" ref="D223:I223" si="496">IF(D214="Dim",D219,IF(D229="ferie",D219,0))</f>
        <v>0</v>
      </c>
      <c r="E223" s="51">
        <f t="shared" si="496"/>
        <v>0</v>
      </c>
      <c r="F223" s="51">
        <f t="shared" si="496"/>
        <v>0</v>
      </c>
      <c r="G223" s="51">
        <f t="shared" si="496"/>
        <v>0</v>
      </c>
      <c r="H223" s="51">
        <f t="shared" si="496"/>
        <v>0</v>
      </c>
      <c r="I223" s="51">
        <f t="shared" si="496"/>
        <v>0</v>
      </c>
      <c r="J223" s="51">
        <f t="shared" si="479"/>
        <v>0</v>
      </c>
      <c r="K223" s="50"/>
      <c r="L223" s="51">
        <f>IF(L214="Dim",L219,IF(L229="ferie",L219,0))</f>
        <v>0</v>
      </c>
      <c r="M223" s="51">
        <f t="shared" ref="M223:R223" si="497">IF(M214="Dim",M219,IF(M229="ferie",M219,0))</f>
        <v>0</v>
      </c>
      <c r="N223" s="51">
        <f t="shared" si="497"/>
        <v>0</v>
      </c>
      <c r="O223" s="51">
        <f t="shared" si="497"/>
        <v>0</v>
      </c>
      <c r="P223" s="51">
        <f t="shared" si="497"/>
        <v>0</v>
      </c>
      <c r="Q223" s="51">
        <f>IF(Q214="Dim",Q219,IF(Q229="ferie",Q219,0))</f>
        <v>0</v>
      </c>
      <c r="R223" s="51">
        <f t="shared" si="497"/>
        <v>0</v>
      </c>
      <c r="S223" s="51">
        <f t="shared" si="481"/>
        <v>0</v>
      </c>
      <c r="T223" s="50"/>
      <c r="U223" s="51">
        <f>IF(U214="Dim",U219,IF(U229="ferie",U219,0))</f>
        <v>0</v>
      </c>
      <c r="V223" s="51">
        <f t="shared" ref="V223:AA223" si="498">IF(V214="Dim",V219,IF(V229="ferie",V219,0))</f>
        <v>0</v>
      </c>
      <c r="W223" s="51">
        <f t="shared" si="498"/>
        <v>0</v>
      </c>
      <c r="X223" s="51">
        <f t="shared" si="498"/>
        <v>0</v>
      </c>
      <c r="Y223" s="51">
        <f t="shared" si="498"/>
        <v>0</v>
      </c>
      <c r="Z223" s="51">
        <f t="shared" si="498"/>
        <v>0</v>
      </c>
      <c r="AA223" s="51">
        <f t="shared" si="498"/>
        <v>0</v>
      </c>
      <c r="AB223" s="51">
        <f t="shared" si="483"/>
        <v>0</v>
      </c>
      <c r="AC223" s="50"/>
      <c r="AD223" s="51">
        <f>IF(AD214="Dim",AD219,IF(AD229="ferie",AD219,0))</f>
        <v>0</v>
      </c>
      <c r="AE223" s="51">
        <f t="shared" ref="AE223:AJ223" si="499">IF(AE214="Dim",AE219,IF(AE229="ferie",AE219,0))</f>
        <v>0</v>
      </c>
      <c r="AF223" s="51">
        <f t="shared" si="499"/>
        <v>0</v>
      </c>
      <c r="AG223" s="51">
        <f t="shared" si="499"/>
        <v>0</v>
      </c>
      <c r="AH223" s="51">
        <f t="shared" si="499"/>
        <v>0</v>
      </c>
      <c r="AI223" s="51">
        <f t="shared" si="499"/>
        <v>0</v>
      </c>
      <c r="AJ223" s="51">
        <f t="shared" si="499"/>
        <v>0</v>
      </c>
      <c r="AK223" s="51">
        <f t="shared" si="485"/>
        <v>0</v>
      </c>
      <c r="AL223" s="50"/>
      <c r="AM223" s="51">
        <f>IF(AM214="Dim",AM219,IF(AM229="ferie",AM219,0))</f>
        <v>0</v>
      </c>
      <c r="AN223" s="51">
        <f t="shared" ref="AN223:AW223" si="500">IF(AN214="Dim",AN219,IF(AN229="ferie",AN219,0))</f>
        <v>0</v>
      </c>
      <c r="AO223" s="51">
        <f t="shared" si="500"/>
        <v>0</v>
      </c>
      <c r="AP223" s="51">
        <f t="shared" si="500"/>
        <v>0</v>
      </c>
      <c r="AQ223" s="51">
        <f t="shared" si="500"/>
        <v>0</v>
      </c>
      <c r="AR223" s="51">
        <f t="shared" si="500"/>
        <v>0</v>
      </c>
      <c r="AS223" s="51">
        <f t="shared" si="500"/>
        <v>0</v>
      </c>
      <c r="AT223" s="51">
        <f t="shared" si="487"/>
        <v>0</v>
      </c>
      <c r="AU223" s="50"/>
      <c r="AV223" s="51">
        <f>IF(AV214="Dim",AV219,IF(AV229="ferie",AV219,0))</f>
        <v>0</v>
      </c>
      <c r="AW223" s="51">
        <f t="shared" si="500"/>
        <v>0</v>
      </c>
      <c r="AX223" s="51">
        <f t="shared" ref="AX223:AX228" si="501">SUM(AV223:AW223)</f>
        <v>0</v>
      </c>
      <c r="AY223" s="51">
        <f t="shared" si="489"/>
        <v>0</v>
      </c>
      <c r="AZ223" s="25"/>
      <c r="BA223" s="25"/>
      <c r="BB223" s="25"/>
      <c r="BC223" s="25"/>
      <c r="BD223" s="25"/>
      <c r="BE223" s="25"/>
      <c r="BF223" s="25"/>
      <c r="BG223" s="28"/>
    </row>
    <row r="224" spans="1:59" s="27" customFormat="1" ht="15" customHeight="1">
      <c r="A224" s="47" t="s">
        <v>8</v>
      </c>
      <c r="B224" s="47"/>
      <c r="C224" s="48"/>
      <c r="D224" s="48"/>
      <c r="E224" s="48"/>
      <c r="F224" s="48"/>
      <c r="G224" s="48"/>
      <c r="H224" s="48"/>
      <c r="I224" s="48"/>
      <c r="J224" s="51">
        <f t="shared" ref="J224:J228" si="502">SUM(C224:I224)</f>
        <v>0</v>
      </c>
      <c r="K224" s="47"/>
      <c r="L224" s="48"/>
      <c r="M224" s="48"/>
      <c r="N224" s="48"/>
      <c r="O224" s="48"/>
      <c r="P224" s="48"/>
      <c r="Q224" s="48"/>
      <c r="R224" s="48"/>
      <c r="S224" s="51">
        <f t="shared" ref="S224:S228" si="503">SUM(L224:R224)</f>
        <v>0</v>
      </c>
      <c r="T224" s="47"/>
      <c r="U224" s="48"/>
      <c r="V224" s="48"/>
      <c r="W224" s="48"/>
      <c r="X224" s="48"/>
      <c r="Y224" s="48"/>
      <c r="Z224" s="48"/>
      <c r="AA224" s="48"/>
      <c r="AB224" s="51">
        <f t="shared" ref="AB224:AB228" si="504">SUM(U224:AA224)</f>
        <v>0</v>
      </c>
      <c r="AC224" s="47"/>
      <c r="AD224" s="48"/>
      <c r="AE224" s="48"/>
      <c r="AF224" s="48"/>
      <c r="AG224" s="48"/>
      <c r="AH224" s="48"/>
      <c r="AI224" s="48"/>
      <c r="AJ224" s="48"/>
      <c r="AK224" s="51">
        <f t="shared" ref="AK224:AK228" si="505">SUM(AD224:AJ224)</f>
        <v>0</v>
      </c>
      <c r="AL224" s="47"/>
      <c r="AM224" s="48"/>
      <c r="AN224" s="48"/>
      <c r="AO224" s="48"/>
      <c r="AP224" s="48"/>
      <c r="AQ224" s="48"/>
      <c r="AR224" s="48"/>
      <c r="AS224" s="48"/>
      <c r="AT224" s="51">
        <f t="shared" ref="AT224:AT228" si="506">SUM(AM224:AS224)</f>
        <v>0</v>
      </c>
      <c r="AU224" s="47"/>
      <c r="AV224" s="48"/>
      <c r="AW224" s="48"/>
      <c r="AX224" s="51">
        <f>SUM(AV224:AW224)</f>
        <v>0</v>
      </c>
      <c r="AY224" s="48">
        <f t="shared" si="489"/>
        <v>0</v>
      </c>
      <c r="AZ224" s="39"/>
      <c r="BA224" s="39"/>
      <c r="BB224" s="39"/>
      <c r="BC224" s="39"/>
      <c r="BD224" s="39"/>
      <c r="BE224" s="39"/>
      <c r="BF224" s="29"/>
    </row>
    <row r="225" spans="1:59" s="27" customFormat="1" ht="15" customHeight="1">
      <c r="A225" s="50" t="s">
        <v>9</v>
      </c>
      <c r="B225" s="50"/>
      <c r="C225" s="51"/>
      <c r="D225" s="51"/>
      <c r="E225" s="51"/>
      <c r="F225" s="51"/>
      <c r="G225" s="51"/>
      <c r="H225" s="51"/>
      <c r="I225" s="51"/>
      <c r="J225" s="51">
        <f t="shared" si="502"/>
        <v>0</v>
      </c>
      <c r="K225" s="50"/>
      <c r="L225" s="51"/>
      <c r="M225" s="51"/>
      <c r="N225" s="51"/>
      <c r="O225" s="51"/>
      <c r="P225" s="51"/>
      <c r="Q225" s="51"/>
      <c r="R225" s="51"/>
      <c r="S225" s="51">
        <f t="shared" si="503"/>
        <v>0</v>
      </c>
      <c r="T225" s="50"/>
      <c r="U225" s="51"/>
      <c r="V225" s="51"/>
      <c r="W225" s="51"/>
      <c r="X225" s="51"/>
      <c r="Y225" s="51"/>
      <c r="Z225" s="51"/>
      <c r="AA225" s="51"/>
      <c r="AB225" s="51">
        <f t="shared" si="504"/>
        <v>0</v>
      </c>
      <c r="AC225" s="50"/>
      <c r="AD225" s="51"/>
      <c r="AE225" s="51"/>
      <c r="AF225" s="51"/>
      <c r="AG225" s="51"/>
      <c r="AH225" s="51"/>
      <c r="AI225" s="51"/>
      <c r="AJ225" s="51"/>
      <c r="AK225" s="51">
        <f t="shared" si="505"/>
        <v>0</v>
      </c>
      <c r="AL225" s="50"/>
      <c r="AM225" s="51"/>
      <c r="AN225" s="51"/>
      <c r="AO225" s="51"/>
      <c r="AP225" s="51"/>
      <c r="AQ225" s="51"/>
      <c r="AR225" s="51"/>
      <c r="AS225" s="51"/>
      <c r="AT225" s="51">
        <f t="shared" si="506"/>
        <v>0</v>
      </c>
      <c r="AU225" s="50"/>
      <c r="AV225" s="51"/>
      <c r="AW225" s="51"/>
      <c r="AX225" s="51">
        <f t="shared" si="501"/>
        <v>0</v>
      </c>
      <c r="AY225" s="51">
        <f t="shared" si="489"/>
        <v>0</v>
      </c>
      <c r="AZ225" s="25"/>
      <c r="BA225" s="25"/>
      <c r="BB225" s="25"/>
      <c r="BC225" s="25"/>
      <c r="BD225" s="25"/>
      <c r="BE225" s="25"/>
      <c r="BF225" s="25"/>
      <c r="BG225" s="28"/>
    </row>
    <row r="226" spans="1:59" s="5" customFormat="1" ht="15" customHeight="1">
      <c r="A226" s="47" t="s">
        <v>11</v>
      </c>
      <c r="B226" s="47"/>
      <c r="C226" s="48"/>
      <c r="D226" s="48"/>
      <c r="E226" s="48"/>
      <c r="F226" s="48"/>
      <c r="G226" s="48"/>
      <c r="H226" s="48"/>
      <c r="I226" s="48"/>
      <c r="J226" s="51">
        <f t="shared" si="502"/>
        <v>0</v>
      </c>
      <c r="K226" s="47"/>
      <c r="L226" s="48"/>
      <c r="M226" s="48"/>
      <c r="N226" s="48"/>
      <c r="O226" s="48"/>
      <c r="P226" s="48"/>
      <c r="Q226" s="48"/>
      <c r="R226" s="48"/>
      <c r="S226" s="51">
        <f t="shared" si="503"/>
        <v>0</v>
      </c>
      <c r="T226" s="47"/>
      <c r="U226" s="48"/>
      <c r="V226" s="48"/>
      <c r="W226" s="48"/>
      <c r="X226" s="48"/>
      <c r="Y226" s="48"/>
      <c r="Z226" s="48"/>
      <c r="AA226" s="48"/>
      <c r="AB226" s="51">
        <f t="shared" si="504"/>
        <v>0</v>
      </c>
      <c r="AC226" s="47"/>
      <c r="AD226" s="48"/>
      <c r="AE226" s="48"/>
      <c r="AF226" s="48"/>
      <c r="AG226" s="48"/>
      <c r="AH226" s="48"/>
      <c r="AI226" s="48"/>
      <c r="AJ226" s="48"/>
      <c r="AK226" s="51">
        <f t="shared" si="505"/>
        <v>0</v>
      </c>
      <c r="AL226" s="47"/>
      <c r="AM226" s="48"/>
      <c r="AN226" s="48"/>
      <c r="AO226" s="48"/>
      <c r="AP226" s="48"/>
      <c r="AQ226" s="48"/>
      <c r="AR226" s="48"/>
      <c r="AS226" s="48"/>
      <c r="AT226" s="51">
        <f t="shared" si="506"/>
        <v>0</v>
      </c>
      <c r="AU226" s="47"/>
      <c r="AV226" s="48"/>
      <c r="AW226" s="48"/>
      <c r="AX226" s="51">
        <f t="shared" si="501"/>
        <v>0</v>
      </c>
      <c r="AY226" s="49">
        <f t="shared" si="489"/>
        <v>0</v>
      </c>
      <c r="AZ226" s="39"/>
      <c r="BA226" s="39"/>
      <c r="BB226" s="39"/>
      <c r="BC226" s="39"/>
      <c r="BD226" s="39"/>
      <c r="BE226" s="39"/>
      <c r="BF226" s="29"/>
    </row>
    <row r="227" spans="1:59" s="27" customFormat="1" ht="15" customHeight="1">
      <c r="A227" s="50" t="s">
        <v>10</v>
      </c>
      <c r="B227" s="50"/>
      <c r="C227" s="51"/>
      <c r="D227" s="51"/>
      <c r="E227" s="51"/>
      <c r="F227" s="51"/>
      <c r="G227" s="51"/>
      <c r="H227" s="51"/>
      <c r="I227" s="51"/>
      <c r="J227" s="51">
        <f t="shared" si="502"/>
        <v>0</v>
      </c>
      <c r="K227" s="50"/>
      <c r="L227" s="51"/>
      <c r="M227" s="51"/>
      <c r="N227" s="51"/>
      <c r="O227" s="51"/>
      <c r="P227" s="51"/>
      <c r="Q227" s="51"/>
      <c r="R227" s="51"/>
      <c r="S227" s="51">
        <f t="shared" si="503"/>
        <v>0</v>
      </c>
      <c r="T227" s="50"/>
      <c r="U227" s="51"/>
      <c r="V227" s="51"/>
      <c r="W227" s="51"/>
      <c r="X227" s="51"/>
      <c r="Y227" s="51"/>
      <c r="Z227" s="51"/>
      <c r="AA227" s="51"/>
      <c r="AB227" s="51">
        <f t="shared" si="504"/>
        <v>0</v>
      </c>
      <c r="AC227" s="50"/>
      <c r="AD227" s="51"/>
      <c r="AE227" s="51"/>
      <c r="AF227" s="51"/>
      <c r="AG227" s="51"/>
      <c r="AH227" s="51"/>
      <c r="AI227" s="51"/>
      <c r="AJ227" s="51"/>
      <c r="AK227" s="51">
        <f t="shared" si="505"/>
        <v>0</v>
      </c>
      <c r="AL227" s="50"/>
      <c r="AM227" s="51"/>
      <c r="AN227" s="51"/>
      <c r="AO227" s="51"/>
      <c r="AP227" s="51"/>
      <c r="AQ227" s="51"/>
      <c r="AR227" s="51"/>
      <c r="AS227" s="51"/>
      <c r="AT227" s="51">
        <f t="shared" si="506"/>
        <v>0</v>
      </c>
      <c r="AU227" s="50"/>
      <c r="AV227" s="51"/>
      <c r="AW227" s="51"/>
      <c r="AX227" s="51">
        <f t="shared" si="501"/>
        <v>0</v>
      </c>
      <c r="AY227" s="51">
        <f t="shared" si="489"/>
        <v>0</v>
      </c>
      <c r="AZ227" s="25"/>
      <c r="BA227" s="25"/>
      <c r="BB227" s="25"/>
      <c r="BC227" s="25"/>
      <c r="BD227" s="25"/>
      <c r="BE227" s="25"/>
      <c r="BF227" s="25"/>
      <c r="BG227" s="28"/>
    </row>
    <row r="228" spans="1:59" s="5" customFormat="1" ht="15" customHeight="1">
      <c r="A228" s="47" t="s">
        <v>37</v>
      </c>
      <c r="B228" s="47"/>
      <c r="C228" s="48">
        <f>IF(C216="nuit",C219*0.02,0)</f>
        <v>0</v>
      </c>
      <c r="D228" s="48">
        <f>IF(D216="nuit",D219*0.02,0)</f>
        <v>0</v>
      </c>
      <c r="E228" s="48">
        <f t="shared" ref="E228:I228" si="507">IF(E216="nuit",E219*0.02,0)</f>
        <v>0</v>
      </c>
      <c r="F228" s="48">
        <f t="shared" si="507"/>
        <v>0</v>
      </c>
      <c r="G228" s="48">
        <f>IF(G216="nuit",G219*0.02,0)</f>
        <v>0</v>
      </c>
      <c r="H228" s="48">
        <f t="shared" si="507"/>
        <v>0</v>
      </c>
      <c r="I228" s="48">
        <f t="shared" si="507"/>
        <v>0</v>
      </c>
      <c r="J228" s="51">
        <f t="shared" si="502"/>
        <v>0</v>
      </c>
      <c r="K228" s="47"/>
      <c r="L228" s="48">
        <f>IF(L216="nuit",L219*0.02,0)</f>
        <v>0</v>
      </c>
      <c r="M228" s="48">
        <f>IF(M216="nuit",M219*0.02,0)</f>
        <v>0</v>
      </c>
      <c r="N228" s="48">
        <f t="shared" ref="N228:R228" si="508">IF(N216="nuit",N219*0.02,0)</f>
        <v>0</v>
      </c>
      <c r="O228" s="48">
        <f t="shared" si="508"/>
        <v>0</v>
      </c>
      <c r="P228" s="48">
        <f>IF(P216="nuit",P219*0.02,0)</f>
        <v>0</v>
      </c>
      <c r="Q228" s="48">
        <f t="shared" si="508"/>
        <v>0</v>
      </c>
      <c r="R228" s="48">
        <f t="shared" si="508"/>
        <v>0</v>
      </c>
      <c r="S228" s="51">
        <f t="shared" si="503"/>
        <v>0</v>
      </c>
      <c r="T228" s="47"/>
      <c r="U228" s="48">
        <f>IF(U216="nuit",U219*0.02,0)</f>
        <v>0</v>
      </c>
      <c r="V228" s="48">
        <f>IF(V216="nuit",V219*0.02,0)</f>
        <v>0</v>
      </c>
      <c r="W228" s="48">
        <f t="shared" ref="W228:AA228" si="509">IF(W216="nuit",W219*0.02,0)</f>
        <v>0</v>
      </c>
      <c r="X228" s="48">
        <f t="shared" si="509"/>
        <v>0</v>
      </c>
      <c r="Y228" s="48">
        <f>IF(Y216="nuit",Y219*0.02,0)</f>
        <v>0</v>
      </c>
      <c r="Z228" s="48">
        <f t="shared" si="509"/>
        <v>0</v>
      </c>
      <c r="AA228" s="48">
        <f t="shared" si="509"/>
        <v>0</v>
      </c>
      <c r="AB228" s="51">
        <f t="shared" si="504"/>
        <v>0</v>
      </c>
      <c r="AC228" s="47"/>
      <c r="AD228" s="48">
        <f>IF(AD216="nuit",AD219*0.02,0)</f>
        <v>0.16</v>
      </c>
      <c r="AE228" s="48">
        <f>IF(AE216="nuit",AE219*0.02,0)</f>
        <v>0.16</v>
      </c>
      <c r="AF228" s="48">
        <f t="shared" ref="AF228:AJ228" si="510">IF(AF216="nuit",AF219*0.02,0)</f>
        <v>0.16</v>
      </c>
      <c r="AG228" s="48">
        <f t="shared" si="510"/>
        <v>0.16</v>
      </c>
      <c r="AH228" s="48">
        <f>IF(AH216="nuit",AH219*0.02,0)</f>
        <v>0.16</v>
      </c>
      <c r="AI228" s="48">
        <f t="shared" si="510"/>
        <v>0</v>
      </c>
      <c r="AJ228" s="48">
        <f t="shared" si="510"/>
        <v>0</v>
      </c>
      <c r="AK228" s="51">
        <f t="shared" si="505"/>
        <v>0.8</v>
      </c>
      <c r="AL228" s="47"/>
      <c r="AM228" s="48">
        <f>IF(AM216="nuit",AM219*0.02,0)</f>
        <v>0</v>
      </c>
      <c r="AN228" s="48">
        <f>IF(AN216="nuit",AN219*0.02,0)</f>
        <v>0</v>
      </c>
      <c r="AO228" s="48">
        <f t="shared" ref="AO228:AS228" si="511">IF(AO216="nuit",AO219*0.02,0)</f>
        <v>0</v>
      </c>
      <c r="AP228" s="48">
        <f t="shared" si="511"/>
        <v>0</v>
      </c>
      <c r="AQ228" s="48">
        <f>IF(AQ216="nuit",AQ219*0.02,0)</f>
        <v>0</v>
      </c>
      <c r="AR228" s="48">
        <f t="shared" si="511"/>
        <v>0</v>
      </c>
      <c r="AS228" s="48">
        <f t="shared" si="511"/>
        <v>0</v>
      </c>
      <c r="AT228" s="51">
        <f t="shared" si="506"/>
        <v>0</v>
      </c>
      <c r="AU228" s="47"/>
      <c r="AV228" s="48">
        <f>IF(AV216="nuit",AV219*0.02,0)</f>
        <v>0</v>
      </c>
      <c r="AW228" s="48">
        <f>IF(AW216="nuit",AW219*0.02,0)</f>
        <v>0</v>
      </c>
      <c r="AX228" s="51">
        <f t="shared" si="501"/>
        <v>0</v>
      </c>
      <c r="AY228" s="49">
        <f>J228+S228+AB228+AK228+AT228+AX228</f>
        <v>0.8</v>
      </c>
      <c r="AZ228" s="39"/>
      <c r="BA228" s="39"/>
      <c r="BB228" s="39"/>
      <c r="BC228" s="39"/>
      <c r="BD228" s="39"/>
      <c r="BE228" s="39"/>
      <c r="BF228" s="29"/>
    </row>
    <row r="229" spans="1:59" s="27" customFormat="1" ht="15" customHeight="1">
      <c r="A229" s="50" t="s">
        <v>24</v>
      </c>
      <c r="B229" s="50"/>
      <c r="C229" s="51"/>
      <c r="D229" s="51"/>
      <c r="E229" s="51"/>
      <c r="F229" s="51"/>
      <c r="G229" s="51"/>
      <c r="H229" s="51"/>
      <c r="I229" s="51"/>
      <c r="J229" s="51"/>
      <c r="K229" s="50"/>
      <c r="L229" s="51"/>
      <c r="M229" s="51"/>
      <c r="N229" s="51"/>
      <c r="O229" s="51"/>
      <c r="P229" s="51"/>
      <c r="Q229" s="51"/>
      <c r="R229" s="51"/>
      <c r="S229" s="51"/>
      <c r="T229" s="50"/>
      <c r="U229" s="51"/>
      <c r="V229" s="51"/>
      <c r="W229" s="51"/>
      <c r="X229" s="51"/>
      <c r="Y229" s="51"/>
      <c r="Z229" s="51"/>
      <c r="AA229" s="51"/>
      <c r="AB229" s="51"/>
      <c r="AC229" s="50"/>
      <c r="AD229" s="51"/>
      <c r="AE229" s="51"/>
      <c r="AF229" s="51"/>
      <c r="AG229" s="51"/>
      <c r="AH229" s="51"/>
      <c r="AI229" s="51"/>
      <c r="AJ229" s="51"/>
      <c r="AK229" s="51"/>
      <c r="AL229" s="50"/>
      <c r="AM229" s="51"/>
      <c r="AN229" s="51"/>
      <c r="AO229" s="51"/>
      <c r="AP229" s="51"/>
      <c r="AQ229" s="51"/>
      <c r="AR229" s="51"/>
      <c r="AS229" s="51"/>
      <c r="AT229" s="51"/>
      <c r="AU229" s="50"/>
      <c r="AV229" s="51"/>
      <c r="AW229" s="51"/>
      <c r="AX229" s="51"/>
      <c r="AY229" s="51"/>
      <c r="AZ229" s="25"/>
      <c r="BA229" s="25"/>
      <c r="BB229" s="25"/>
      <c r="BC229" s="25"/>
      <c r="BD229" s="25"/>
      <c r="BE229" s="25"/>
      <c r="BF229" s="25"/>
      <c r="BG229" s="28"/>
    </row>
    <row r="230" spans="1:59" s="99" customFormat="1" ht="15" customHeight="1">
      <c r="A230" s="104" t="s">
        <v>112</v>
      </c>
      <c r="B230" s="105"/>
      <c r="C230" s="106" t="str">
        <f>IF(C215="","",IFERROR(VLOOKUP(B214,[2]DATA!$A$12:$H$16,2,TRUE),0))</f>
        <v/>
      </c>
      <c r="D230" s="106" t="str">
        <f>IF(D215="","",IFERROR(VLOOKUP(B214,[2]DATA!$A$12:$H$16,3,TRUE),0))</f>
        <v/>
      </c>
      <c r="E230" s="106" t="str">
        <f>IF(E215="","",IFERROR(VLOOKUP(B214,[2]DATA!$A$12:$H$16,4,TRUE),0))</f>
        <v/>
      </c>
      <c r="F230" s="106" t="str">
        <f>IF(F215="","",IFERROR(VLOOKUP(B214,[2]DATA!$A$12:$H$16,5,TRUE),0))</f>
        <v/>
      </c>
      <c r="G230" s="106" t="str">
        <f>IF(G215="","",IFERROR(VLOOKUP(B214,[2]DATA!$A$12:$H$16,6,TRUE),0))</f>
        <v/>
      </c>
      <c r="H230" s="106"/>
      <c r="I230" s="106"/>
      <c r="J230" s="106">
        <f>SUM(C230:G230)</f>
        <v>0</v>
      </c>
      <c r="K230" s="106"/>
      <c r="L230" s="106">
        <f>IF(L215="","",IFERROR(VLOOKUP(K214,[2]DATA!$A$12:$H$16,2,TRUE),0))</f>
        <v>1</v>
      </c>
      <c r="M230" s="106">
        <f>IF(M215="","",IFERROR(VLOOKUP(K214,[2]DATA!$A$12:$H$16,3,TRUE),0))</f>
        <v>1</v>
      </c>
      <c r="N230" s="106">
        <f>IF(N215="","",IFERROR(VLOOKUP(K214,[2]DATA!$A$12:$H$16,4,TRUE),0))</f>
        <v>1</v>
      </c>
      <c r="O230" s="106">
        <f>IF(O215="","",IFERROR(VLOOKUP(K214,[2]DATA!$A$12:$H$16,5,TRUE),0))</f>
        <v>1</v>
      </c>
      <c r="P230" s="106">
        <f>IF(P215="","",IFERROR(VLOOKUP(K214,[2]DATA!$A$12:$H$16,6,TRUE),0))</f>
        <v>1</v>
      </c>
      <c r="Q230" s="106"/>
      <c r="R230" s="106"/>
      <c r="S230" s="106">
        <f>SUM(L230:P230)</f>
        <v>5</v>
      </c>
      <c r="T230" s="106"/>
      <c r="U230" s="106">
        <f>IF(U215="","",IFERROR(VLOOKUP(T214,[2]DATA!$A$12:$H$16,2,TRUE),0))</f>
        <v>1</v>
      </c>
      <c r="V230" s="106">
        <f>IF(V215="","",IFERROR(VLOOKUP(T214,[2]DATA!$A$12:$H$16,3,TRUE),0))</f>
        <v>1</v>
      </c>
      <c r="W230" s="106">
        <f>IF(W215="","",IFERROR(VLOOKUP(T214,[2]DATA!$A$12:$H$16,4,TRUE),0))</f>
        <v>1</v>
      </c>
      <c r="X230" s="106">
        <f>IF(X215="","",IFERROR(VLOOKUP(T214,[2]DATA!$A$12:$H$16,5,TRUE),0))</f>
        <v>0</v>
      </c>
      <c r="Y230" s="106">
        <f>IF(Y215="","",IFERROR(VLOOKUP(T214,[2]DATA!$A$12:$H$16,6,TRUE),0))</f>
        <v>0</v>
      </c>
      <c r="Z230" s="106"/>
      <c r="AA230" s="106"/>
      <c r="AB230" s="106">
        <f>SUM(U230:Y230)</f>
        <v>3</v>
      </c>
      <c r="AC230" s="106"/>
      <c r="AD230" s="106">
        <f>IF(AD215="","",IFERROR(VLOOKUP(AC214,[2]DATA!$A$12:$H$16,2,TRUE),0))</f>
        <v>1</v>
      </c>
      <c r="AE230" s="106">
        <f>IF(AE215="","",IFERROR(VLOOKUP(AC214,[2]DATA!$A$12:$H$16,3,TRUE),0))</f>
        <v>1</v>
      </c>
      <c r="AF230" s="106">
        <f>IF(AF215="","",IFERROR(VLOOKUP(AC214,[2]DATA!$A$12:$H$16,4,TRUE),0))</f>
        <v>1</v>
      </c>
      <c r="AG230" s="106">
        <f>IF(AG215="","",IFERROR(VLOOKUP(AC214,[2]DATA!$A$12:$H$16,5,TRUE),0))</f>
        <v>1</v>
      </c>
      <c r="AH230" s="106">
        <f>IF(AH215="","",IFERROR(VLOOKUP(AC214,[2]DATA!$A$12:$H$16,6,TRUE),0))</f>
        <v>1</v>
      </c>
      <c r="AI230" s="106"/>
      <c r="AJ230" s="106"/>
      <c r="AK230" s="106">
        <f>SUM(AD230:AH230)</f>
        <v>5</v>
      </c>
      <c r="AL230" s="106"/>
      <c r="AM230" s="106">
        <f>IF(AM215="","",IFERROR(VLOOKUP(AL214,[2]DATA!$A$12:$H$16,2,TRUE),0))</f>
        <v>1</v>
      </c>
      <c r="AN230" s="106">
        <f>IF(AN215="","",IFERROR(VLOOKUP(AL214,[2]DATA!$A$12:$H$16,3,TRUE),0))</f>
        <v>0</v>
      </c>
      <c r="AO230" s="106">
        <f>IF(AO215="","",IFERROR(VLOOKUP(AL214,[2]DATA!$A$12:$H$16,4,TRUE),0))</f>
        <v>0</v>
      </c>
      <c r="AP230" s="106">
        <f>IF(AP215="","",IFERROR(VLOOKUP(AL214,[2]DATA!$A$12:$H$16,5,TRUE),0))</f>
        <v>1</v>
      </c>
      <c r="AQ230" s="106">
        <f>IF(AQ215="","",IFERROR(VLOOKUP(AL214,[2]DATA!$A$12:$H$16,6,TRUE),0))</f>
        <v>1</v>
      </c>
      <c r="AR230" s="106"/>
      <c r="AS230" s="106"/>
      <c r="AT230" s="106">
        <f>SUM(AM230:AQ230)</f>
        <v>3</v>
      </c>
      <c r="AU230" s="106"/>
      <c r="AV230" s="106">
        <f>IF(AV215="","",IFERROR(VLOOKUP(AU214,[2]DATA!$A$12:$H$16,2,TRUE),0))</f>
        <v>1</v>
      </c>
      <c r="AW230" s="106" t="str">
        <f>IF(AW215="","",IFERROR(VLOOKUP(AU214,[2]DATA!$A$12:$H$16,3,TRUE),0))</f>
        <v/>
      </c>
      <c r="AX230" s="106">
        <f>SUM(AV230:AW230)</f>
        <v>1</v>
      </c>
      <c r="AY230" s="107"/>
      <c r="AZ230" s="34"/>
      <c r="BA230" s="34"/>
      <c r="BB230" s="34"/>
      <c r="BC230" s="34"/>
      <c r="BD230" s="34"/>
      <c r="BE230" s="34"/>
      <c r="BF230" s="98"/>
    </row>
    <row r="231" spans="1:59" s="99" customFormat="1" ht="15" customHeight="1">
      <c r="A231" s="108" t="s">
        <v>113</v>
      </c>
      <c r="B231" s="109"/>
      <c r="C231" s="53"/>
      <c r="D231" s="53"/>
      <c r="E231" s="53"/>
      <c r="F231" s="53"/>
      <c r="G231" s="53"/>
      <c r="H231" s="53"/>
      <c r="I231" s="53"/>
      <c r="J231" s="53">
        <f>J218-J230</f>
        <v>0</v>
      </c>
      <c r="K231" s="53"/>
      <c r="L231" s="53"/>
      <c r="M231" s="53"/>
      <c r="N231" s="53"/>
      <c r="O231" s="53"/>
      <c r="P231" s="53"/>
      <c r="Q231" s="53"/>
      <c r="R231" s="53"/>
      <c r="S231" s="53">
        <f>S218-S230</f>
        <v>0</v>
      </c>
      <c r="T231" s="53"/>
      <c r="U231" s="53"/>
      <c r="V231" s="53"/>
      <c r="W231" s="53"/>
      <c r="X231" s="53"/>
      <c r="Y231" s="53"/>
      <c r="Z231" s="53"/>
      <c r="AA231" s="53"/>
      <c r="AB231" s="53">
        <f>AB218-AB230</f>
        <v>0</v>
      </c>
      <c r="AC231" s="53"/>
      <c r="AD231" s="53"/>
      <c r="AE231" s="53"/>
      <c r="AF231" s="53"/>
      <c r="AG231" s="53"/>
      <c r="AH231" s="53"/>
      <c r="AI231" s="53"/>
      <c r="AJ231" s="53"/>
      <c r="AK231" s="53">
        <f>AK218-AK230</f>
        <v>0</v>
      </c>
      <c r="AL231" s="53"/>
      <c r="AM231" s="53"/>
      <c r="AN231" s="53"/>
      <c r="AO231" s="53"/>
      <c r="AP231" s="53"/>
      <c r="AQ231" s="53"/>
      <c r="AR231" s="53"/>
      <c r="AS231" s="53"/>
      <c r="AT231" s="53">
        <f>AT218-AT230</f>
        <v>0</v>
      </c>
      <c r="AU231" s="53"/>
      <c r="AV231" s="53"/>
      <c r="AW231" s="53"/>
      <c r="AX231" s="53">
        <f>AX218-AX230</f>
        <v>0</v>
      </c>
      <c r="AY231" s="110">
        <f>AT231+AK231+AB231+S231+J231</f>
        <v>0</v>
      </c>
      <c r="AZ231" s="34"/>
      <c r="BA231" s="34"/>
      <c r="BB231" s="34"/>
      <c r="BC231" s="34"/>
      <c r="BD231" s="34"/>
      <c r="BE231" s="34"/>
      <c r="BF231" s="98"/>
    </row>
  </sheetData>
  <mergeCells count="147">
    <mergeCell ref="AT214:AT215"/>
    <mergeCell ref="AX5:AX6"/>
    <mergeCell ref="AX24:AX25"/>
    <mergeCell ref="AX43:AX44"/>
    <mergeCell ref="AX62:AX63"/>
    <mergeCell ref="AX81:AX82"/>
    <mergeCell ref="AX100:AX101"/>
    <mergeCell ref="AX119:AX120"/>
    <mergeCell ref="AX138:AX139"/>
    <mergeCell ref="AX157:AX158"/>
    <mergeCell ref="AX176:AX177"/>
    <mergeCell ref="AX195:AX196"/>
    <mergeCell ref="AX214:AX215"/>
    <mergeCell ref="AT100:AT101"/>
    <mergeCell ref="AT119:AT120"/>
    <mergeCell ref="AT138:AT139"/>
    <mergeCell ref="AT157:AT158"/>
    <mergeCell ref="AT176:AT177"/>
    <mergeCell ref="AT5:AT6"/>
    <mergeCell ref="AT24:AT25"/>
    <mergeCell ref="AT43:AT44"/>
    <mergeCell ref="AT62:AT63"/>
    <mergeCell ref="AT81:AT82"/>
    <mergeCell ref="AT195:AT196"/>
    <mergeCell ref="J214:J215"/>
    <mergeCell ref="S5:S6"/>
    <mergeCell ref="S24:S25"/>
    <mergeCell ref="S43:S44"/>
    <mergeCell ref="S62:S63"/>
    <mergeCell ref="S81:S82"/>
    <mergeCell ref="S100:S101"/>
    <mergeCell ref="S119:S120"/>
    <mergeCell ref="S138:S139"/>
    <mergeCell ref="S157:S158"/>
    <mergeCell ref="S176:S177"/>
    <mergeCell ref="S195:S196"/>
    <mergeCell ref="S214:S215"/>
    <mergeCell ref="J100:J101"/>
    <mergeCell ref="J119:J120"/>
    <mergeCell ref="BD4:BE4"/>
    <mergeCell ref="H137:I137"/>
    <mergeCell ref="H99:I99"/>
    <mergeCell ref="H4:I4"/>
    <mergeCell ref="H23:I23"/>
    <mergeCell ref="H42:I42"/>
    <mergeCell ref="H61:I61"/>
    <mergeCell ref="H80:I80"/>
    <mergeCell ref="J5:J6"/>
    <mergeCell ref="J24:J25"/>
    <mergeCell ref="AB5:AB6"/>
    <mergeCell ref="AB24:AB25"/>
    <mergeCell ref="AB43:AB44"/>
    <mergeCell ref="AB62:AB63"/>
    <mergeCell ref="AB81:AB82"/>
    <mergeCell ref="AK5:AK6"/>
    <mergeCell ref="AK24:AK25"/>
    <mergeCell ref="AK43:AK44"/>
    <mergeCell ref="AK62:AK63"/>
    <mergeCell ref="AK81:AK82"/>
    <mergeCell ref="AK100:AK101"/>
    <mergeCell ref="AB119:AB120"/>
    <mergeCell ref="AZ5:AZ6"/>
    <mergeCell ref="BA5:BA6"/>
    <mergeCell ref="H194:I194"/>
    <mergeCell ref="H213:I213"/>
    <mergeCell ref="H118:I118"/>
    <mergeCell ref="AY5:AY6"/>
    <mergeCell ref="AY24:AY25"/>
    <mergeCell ref="AY43:AY44"/>
    <mergeCell ref="AY62:AY63"/>
    <mergeCell ref="AY81:AY82"/>
    <mergeCell ref="AY176:AY177"/>
    <mergeCell ref="AY195:AY196"/>
    <mergeCell ref="J43:J44"/>
    <mergeCell ref="J62:J63"/>
    <mergeCell ref="J81:J82"/>
    <mergeCell ref="H156:I156"/>
    <mergeCell ref="H175:I175"/>
    <mergeCell ref="J138:J139"/>
    <mergeCell ref="J157:J158"/>
    <mergeCell ref="J176:J177"/>
    <mergeCell ref="AB138:AB139"/>
    <mergeCell ref="J195:J196"/>
    <mergeCell ref="AB157:AB158"/>
    <mergeCell ref="AB176:AB177"/>
    <mergeCell ref="AB195:AB196"/>
    <mergeCell ref="AK119:AK120"/>
    <mergeCell ref="AZ2:AZ3"/>
    <mergeCell ref="BA2:BA3"/>
    <mergeCell ref="AZ24:AZ25"/>
    <mergeCell ref="BA24:BA25"/>
    <mergeCell ref="AY214:AY215"/>
    <mergeCell ref="AY100:AY101"/>
    <mergeCell ref="AY119:AY120"/>
    <mergeCell ref="AY138:AY139"/>
    <mergeCell ref="AY157:AY158"/>
    <mergeCell ref="AZ100:AZ101"/>
    <mergeCell ref="BA100:BA101"/>
    <mergeCell ref="AZ119:AZ120"/>
    <mergeCell ref="BA119:BA120"/>
    <mergeCell ref="AZ138:AZ139"/>
    <mergeCell ref="BA138:BA139"/>
    <mergeCell ref="AZ43:AZ44"/>
    <mergeCell ref="BA43:BA44"/>
    <mergeCell ref="AZ62:AZ63"/>
    <mergeCell ref="BA62:BA63"/>
    <mergeCell ref="AZ81:AZ82"/>
    <mergeCell ref="BA81:BA82"/>
    <mergeCell ref="Z175:AA175"/>
    <mergeCell ref="AR175:AS175"/>
    <mergeCell ref="Z156:AA156"/>
    <mergeCell ref="AR156:AS156"/>
    <mergeCell ref="Z137:AA137"/>
    <mergeCell ref="AR137:AS137"/>
    <mergeCell ref="AZ214:AZ215"/>
    <mergeCell ref="BA214:BA215"/>
    <mergeCell ref="Z213:AA213"/>
    <mergeCell ref="AR213:AS213"/>
    <mergeCell ref="Z194:AA194"/>
    <mergeCell ref="AR194:AS194"/>
    <mergeCell ref="AZ157:AZ158"/>
    <mergeCell ref="BA157:BA158"/>
    <mergeCell ref="AZ176:AZ177"/>
    <mergeCell ref="BA176:BA177"/>
    <mergeCell ref="AZ195:AZ196"/>
    <mergeCell ref="BA195:BA196"/>
    <mergeCell ref="AB214:AB215"/>
    <mergeCell ref="AK138:AK139"/>
    <mergeCell ref="AK157:AK158"/>
    <mergeCell ref="AK176:AK177"/>
    <mergeCell ref="AK195:AK196"/>
    <mergeCell ref="AK214:AK215"/>
    <mergeCell ref="Z4:AA4"/>
    <mergeCell ref="AR4:AS4"/>
    <mergeCell ref="Z61:AA61"/>
    <mergeCell ref="AR61:AS61"/>
    <mergeCell ref="Z42:AA42"/>
    <mergeCell ref="AR42:AS42"/>
    <mergeCell ref="Z23:AA23"/>
    <mergeCell ref="AR23:AS23"/>
    <mergeCell ref="Z118:AA118"/>
    <mergeCell ref="AR118:AS118"/>
    <mergeCell ref="Z99:AA99"/>
    <mergeCell ref="AR99:AS99"/>
    <mergeCell ref="Z80:AA80"/>
    <mergeCell ref="AR80:AS80"/>
    <mergeCell ref="AB100:AB101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C178:I178 AD178:AJ178 L178:R178 AM178:AS178 U178:AA178 AV178:AW178 AV216:AW216 AD7:AJ7 C197:I197 L7:R7 C64:I64 AM7:AS7 AD64:AJ64 L64:R64 AM64:AS64 U64:AA64 AV64:AW64 C7:I7 AD197:AJ197 L197:R197 AV7:AW7 AM197:AS197 U197:AA197 AV197:AW197 C83:I83 AD83:AJ83 L83:R83 AM83:AS83 U83:AA83 AV83:AW83 C26:I26 AD26:AJ26 L26:R26 AM26:AS26 U26:AA26 AV26:AW26 C45:I45 AD45:AJ45 L45:R45 AM45:AS45 U45:AA45 AV45:AW45 C102:I102 AD102:AJ102 L102:R102 AM102:AS102 U102:AA102 AV102:AW102 C121:I121 AD121:AJ121 L121:R121 AM121:AS121 U121:AA121 AV121:AW121 C140:I140 AD140:AJ140 L140:R140 AM140:AS140 U140:AA140 AV140:AW140 C159:I159 AD159:AJ159 L159:R159 AM159:AS159 U159:AA159 AV159:AW159 C216:I216 AD216:AJ216 L216:R216 AM216:AS216 U216:AA216 U7:AA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macro="[0]!ColorieLesJoursFériés" altText="Spinner control. Use spinner to change calendar year or type desired year in cell L2">
                <anchor moveWithCells="1">
                  <from>
                    <xdr:col>0</xdr:col>
                    <xdr:colOff>238125</xdr:colOff>
                    <xdr:row>1</xdr:row>
                    <xdr:rowOff>57150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95"/>
  <sheetViews>
    <sheetView workbookViewId="0">
      <selection activeCell="E9" sqref="E9"/>
    </sheetView>
  </sheetViews>
  <sheetFormatPr baseColWidth="10" defaultRowHeight="15.75"/>
  <cols>
    <col min="1" max="1" width="17.5546875" customWidth="1"/>
    <col min="2" max="2" width="15.77734375" bestFit="1" customWidth="1"/>
    <col min="3" max="3" width="3.44140625" customWidth="1"/>
    <col min="5" max="5" width="14.77734375" bestFit="1" customWidth="1"/>
    <col min="6" max="6" width="4" customWidth="1"/>
  </cols>
  <sheetData>
    <row r="1" spans="1:9" ht="16.5" thickBot="1">
      <c r="A1" s="66" t="s">
        <v>75</v>
      </c>
      <c r="B1" s="67">
        <f>Année_Calendaire</f>
        <v>2018</v>
      </c>
      <c r="D1" s="68" t="s">
        <v>76</v>
      </c>
      <c r="E1" s="68"/>
      <c r="G1" s="69" t="s">
        <v>77</v>
      </c>
      <c r="H1" s="69"/>
      <c r="I1" s="70" t="s">
        <v>78</v>
      </c>
    </row>
    <row r="2" spans="1:9" ht="17.25" thickTop="1" thickBot="1">
      <c r="A2" s="66" t="s">
        <v>79</v>
      </c>
      <c r="B2" s="66" t="s">
        <v>80</v>
      </c>
      <c r="D2" s="71" t="s">
        <v>81</v>
      </c>
      <c r="E2" s="71" t="s">
        <v>82</v>
      </c>
      <c r="G2" s="72" t="s">
        <v>83</v>
      </c>
      <c r="H2" s="72" t="s">
        <v>84</v>
      </c>
      <c r="I2" t="s">
        <v>85</v>
      </c>
    </row>
    <row r="3" spans="1:9" ht="16.5" thickTop="1">
      <c r="A3" s="73">
        <f>DATEVALUE("1/1/"&amp;$B$1)</f>
        <v>43101</v>
      </c>
      <c r="B3" t="s">
        <v>86</v>
      </c>
      <c r="D3" s="74">
        <v>27549</v>
      </c>
      <c r="E3" t="s">
        <v>87</v>
      </c>
      <c r="G3" s="77">
        <v>42370</v>
      </c>
      <c r="H3" s="78">
        <v>42373</v>
      </c>
    </row>
    <row r="4" spans="1:9">
      <c r="A4" s="73">
        <f>DATEVALUE("1/5/"&amp;$B$1)</f>
        <v>43221</v>
      </c>
      <c r="B4" t="s">
        <v>88</v>
      </c>
      <c r="D4" s="74">
        <v>36491</v>
      </c>
      <c r="E4" t="s">
        <v>99</v>
      </c>
      <c r="G4" s="79">
        <v>42413</v>
      </c>
      <c r="H4" s="79">
        <v>42429</v>
      </c>
    </row>
    <row r="5" spans="1:9">
      <c r="A5" s="73">
        <f>DATEVALUE("8/5/"&amp;$B$1)</f>
        <v>43228</v>
      </c>
      <c r="B5" t="s">
        <v>89</v>
      </c>
      <c r="D5" s="74">
        <v>39726</v>
      </c>
      <c r="E5" t="s">
        <v>100</v>
      </c>
      <c r="G5" s="79">
        <v>42476</v>
      </c>
      <c r="H5" s="79">
        <v>42492</v>
      </c>
    </row>
    <row r="6" spans="1:9">
      <c r="A6" s="73">
        <f>DATEVALUE("14/07/"&amp;$B$1)</f>
        <v>43295</v>
      </c>
      <c r="B6" t="s">
        <v>90</v>
      </c>
      <c r="D6" s="74">
        <v>28472</v>
      </c>
      <c r="E6" t="s">
        <v>101</v>
      </c>
      <c r="G6" s="79">
        <v>42553</v>
      </c>
      <c r="H6" s="79">
        <v>42614</v>
      </c>
    </row>
    <row r="7" spans="1:9">
      <c r="A7" s="73">
        <f>DATEVALUE("25/08/"&amp;$B$1)</f>
        <v>43337</v>
      </c>
      <c r="B7" t="s">
        <v>91</v>
      </c>
      <c r="D7" s="74">
        <v>18027</v>
      </c>
      <c r="E7" t="s">
        <v>102</v>
      </c>
      <c r="G7" s="79">
        <v>42662</v>
      </c>
      <c r="H7" s="79">
        <v>42677</v>
      </c>
    </row>
    <row r="8" spans="1:9">
      <c r="A8" s="73">
        <f>DATEVALUE("1/11/"&amp;$B$1)</f>
        <v>43405</v>
      </c>
      <c r="B8" t="s">
        <v>92</v>
      </c>
      <c r="D8" s="74">
        <v>16477</v>
      </c>
      <c r="E8" t="s">
        <v>103</v>
      </c>
      <c r="G8" s="81">
        <v>42721</v>
      </c>
      <c r="H8" s="81">
        <v>42735</v>
      </c>
    </row>
    <row r="9" spans="1:9">
      <c r="A9" s="73">
        <f>DATEVALUE("11/11/"&amp;$B$1)</f>
        <v>43415</v>
      </c>
      <c r="B9" t="s">
        <v>93</v>
      </c>
      <c r="D9" s="74"/>
      <c r="G9" s="82">
        <v>42736</v>
      </c>
      <c r="H9" s="83">
        <v>42738</v>
      </c>
    </row>
    <row r="10" spans="1:9">
      <c r="A10" s="73">
        <f>DATEVALUE("25/12/"&amp;$B$1)</f>
        <v>43459</v>
      </c>
      <c r="B10" t="s">
        <v>94</v>
      </c>
      <c r="D10" s="42"/>
      <c r="G10" s="75">
        <v>42784</v>
      </c>
      <c r="H10" s="75">
        <v>42800</v>
      </c>
    </row>
    <row r="11" spans="1:9">
      <c r="A11" s="73">
        <f>FLOOR(DAY(MINUTE(B1/38)/2+56)&amp;"/5/"&amp;B1,7)-33</f>
        <v>43192</v>
      </c>
      <c r="B11" s="80" t="s">
        <v>95</v>
      </c>
      <c r="D11" s="42"/>
      <c r="G11" s="75">
        <v>42847</v>
      </c>
      <c r="H11" s="75">
        <v>42864</v>
      </c>
    </row>
    <row r="12" spans="1:9">
      <c r="A12" s="73">
        <f>A11+38</f>
        <v>43230</v>
      </c>
      <c r="B12" s="80" t="s">
        <v>96</v>
      </c>
      <c r="D12" s="42"/>
      <c r="G12" s="75">
        <v>42919</v>
      </c>
      <c r="H12" s="75">
        <v>42978</v>
      </c>
      <c r="I12" t="s">
        <v>98</v>
      </c>
    </row>
    <row r="13" spans="1:9">
      <c r="A13" s="73">
        <f>A12+11</f>
        <v>43241</v>
      </c>
      <c r="B13" s="80" t="s">
        <v>97</v>
      </c>
      <c r="D13" s="42"/>
      <c r="G13" s="75"/>
      <c r="H13" s="75"/>
    </row>
    <row r="14" spans="1:9">
      <c r="B14" s="60"/>
      <c r="D14" s="42"/>
      <c r="G14" s="76"/>
      <c r="H14" s="76"/>
    </row>
    <row r="15" spans="1:9">
      <c r="D15" s="42"/>
      <c r="G15" s="89"/>
      <c r="H15" s="90"/>
    </row>
    <row r="16" spans="1:9">
      <c r="D16" s="42"/>
      <c r="G16" s="91"/>
      <c r="H16" s="91"/>
    </row>
    <row r="17" spans="1:8">
      <c r="A17" s="88"/>
      <c r="D17" s="42"/>
      <c r="G17" s="91"/>
      <c r="H17" s="91"/>
    </row>
    <row r="18" spans="1:8">
      <c r="A18" s="88"/>
      <c r="D18" s="42"/>
      <c r="G18" s="91"/>
      <c r="H18" s="91"/>
    </row>
    <row r="19" spans="1:8">
      <c r="A19" s="88"/>
      <c r="D19" s="42"/>
    </row>
    <row r="20" spans="1:8">
      <c r="A20" s="88"/>
      <c r="D20" s="42"/>
    </row>
    <row r="21" spans="1:8">
      <c r="A21" s="88"/>
    </row>
    <row r="22" spans="1:8">
      <c r="A22" s="88"/>
    </row>
    <row r="23" spans="1:8">
      <c r="A23" s="88"/>
    </row>
    <row r="24" spans="1:8">
      <c r="A24" s="88"/>
    </row>
    <row r="25" spans="1:8">
      <c r="A25" s="88"/>
    </row>
    <row r="26" spans="1:8">
      <c r="A26" s="88"/>
    </row>
    <row r="95" spans="12:12">
      <c r="L95" s="8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C23" sqref="C23"/>
    </sheetView>
  </sheetViews>
  <sheetFormatPr baseColWidth="10" defaultRowHeight="15.75"/>
  <cols>
    <col min="1" max="1" width="15.33203125" customWidth="1"/>
    <col min="2" max="2" width="8.5546875" style="42" customWidth="1"/>
    <col min="3" max="16" width="5.77734375" customWidth="1"/>
    <col min="17" max="17" width="16.5546875" customWidth="1"/>
  </cols>
  <sheetData>
    <row r="1" spans="1:17" ht="15" customHeight="1">
      <c r="A1" s="47"/>
      <c r="B1" s="47"/>
      <c r="C1" s="47" t="s">
        <v>29</v>
      </c>
      <c r="D1" s="47" t="s">
        <v>30</v>
      </c>
      <c r="E1" s="47" t="s">
        <v>14</v>
      </c>
      <c r="F1" s="47" t="s">
        <v>15</v>
      </c>
      <c r="G1" s="47" t="s">
        <v>16</v>
      </c>
      <c r="H1" s="47" t="s">
        <v>17</v>
      </c>
      <c r="I1" s="47" t="s">
        <v>31</v>
      </c>
      <c r="J1" s="47" t="s">
        <v>19</v>
      </c>
      <c r="K1" s="47" t="s">
        <v>32</v>
      </c>
      <c r="L1" s="47" t="s">
        <v>33</v>
      </c>
      <c r="M1" s="47" t="s">
        <v>34</v>
      </c>
      <c r="N1" s="47" t="s">
        <v>35</v>
      </c>
      <c r="O1" s="47"/>
      <c r="P1" s="47" t="s">
        <v>36</v>
      </c>
      <c r="Q1" s="47"/>
    </row>
    <row r="2" spans="1:17" ht="15" customHeight="1">
      <c r="A2" s="50" t="s">
        <v>40</v>
      </c>
      <c r="B2" s="55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</row>
    <row r="3" spans="1:17" ht="15" customHeight="1">
      <c r="A3" s="47" t="s">
        <v>41</v>
      </c>
      <c r="B3" s="56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</row>
    <row r="4" spans="1:17" ht="15" customHeight="1">
      <c r="A4" s="50" t="s">
        <v>26</v>
      </c>
      <c r="B4" s="57">
        <v>10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</row>
    <row r="5" spans="1:17" ht="15" customHeight="1">
      <c r="A5" s="47" t="s">
        <v>27</v>
      </c>
      <c r="B5" s="58">
        <v>21</v>
      </c>
      <c r="C5" s="47"/>
      <c r="D5" s="47"/>
      <c r="E5" s="47"/>
      <c r="F5" s="47"/>
      <c r="G5" s="47">
        <f>B5</f>
        <v>21</v>
      </c>
      <c r="H5" s="47">
        <f>G5-H18</f>
        <v>21</v>
      </c>
      <c r="I5" s="47">
        <f t="shared" ref="I5:N5" si="0">H5-I18</f>
        <v>21</v>
      </c>
      <c r="J5" s="47">
        <f t="shared" si="0"/>
        <v>21</v>
      </c>
      <c r="K5" s="47">
        <f t="shared" si="0"/>
        <v>21</v>
      </c>
      <c r="L5" s="47">
        <f t="shared" si="0"/>
        <v>21</v>
      </c>
      <c r="M5" s="47">
        <f t="shared" si="0"/>
        <v>21</v>
      </c>
      <c r="N5" s="47">
        <f t="shared" si="0"/>
        <v>21</v>
      </c>
      <c r="O5" s="47"/>
      <c r="P5" s="47">
        <f>N5</f>
        <v>21</v>
      </c>
      <c r="Q5" s="47" t="s">
        <v>46</v>
      </c>
    </row>
    <row r="6" spans="1:17" ht="15" customHeight="1">
      <c r="A6" s="50" t="s">
        <v>42</v>
      </c>
      <c r="B6" s="50"/>
      <c r="C6" s="50">
        <f>B4-C18</f>
        <v>10</v>
      </c>
      <c r="D6" s="50">
        <f>C6-D18</f>
        <v>10</v>
      </c>
      <c r="E6" s="50">
        <f t="shared" ref="E6:F6" si="1">D6-E18</f>
        <v>10</v>
      </c>
      <c r="F6" s="50">
        <f t="shared" si="1"/>
        <v>10</v>
      </c>
      <c r="G6" s="50"/>
      <c r="H6" s="50"/>
      <c r="I6" s="50"/>
      <c r="J6" s="50"/>
      <c r="K6" s="50"/>
      <c r="L6" s="50"/>
      <c r="M6" s="50"/>
      <c r="N6" s="50"/>
      <c r="O6" s="50"/>
      <c r="P6" s="50">
        <f>F6</f>
        <v>10</v>
      </c>
      <c r="Q6" s="50" t="s">
        <v>47</v>
      </c>
    </row>
    <row r="7" spans="1:17" ht="15" customHeight="1">
      <c r="A7" s="47" t="s">
        <v>43</v>
      </c>
      <c r="B7" s="47"/>
      <c r="C7" s="47">
        <f>B2-C17+C16</f>
        <v>0</v>
      </c>
      <c r="D7" s="47">
        <f>C7-D17+D16</f>
        <v>0</v>
      </c>
      <c r="E7" s="47">
        <f t="shared" ref="E7:M7" si="2">D7-E17+E16</f>
        <v>0</v>
      </c>
      <c r="F7" s="47">
        <f t="shared" si="2"/>
        <v>0</v>
      </c>
      <c r="G7" s="47">
        <f t="shared" si="2"/>
        <v>0</v>
      </c>
      <c r="H7" s="47">
        <f t="shared" si="2"/>
        <v>0</v>
      </c>
      <c r="I7" s="47">
        <f t="shared" si="2"/>
        <v>0</v>
      </c>
      <c r="J7" s="47">
        <f t="shared" si="2"/>
        <v>0</v>
      </c>
      <c r="K7" s="47">
        <f t="shared" si="2"/>
        <v>0</v>
      </c>
      <c r="L7" s="47">
        <f t="shared" si="2"/>
        <v>0</v>
      </c>
      <c r="M7" s="47">
        <f t="shared" si="2"/>
        <v>0</v>
      </c>
      <c r="N7" s="47">
        <f>M7-N17+N16</f>
        <v>0</v>
      </c>
      <c r="O7" s="47"/>
      <c r="P7" s="47">
        <f>N7</f>
        <v>0</v>
      </c>
      <c r="Q7" s="47"/>
    </row>
    <row r="8" spans="1:17" ht="15" customHeight="1">
      <c r="A8" s="50" t="s">
        <v>44</v>
      </c>
      <c r="B8" s="50"/>
      <c r="C8" s="50">
        <f>B3-C19+C20</f>
        <v>0.8</v>
      </c>
      <c r="D8" s="50">
        <f>C8-D19+D20</f>
        <v>1.6</v>
      </c>
      <c r="E8" s="50">
        <f t="shared" ref="E8:M8" si="3">D8-E19+E20</f>
        <v>2.4000000000000004</v>
      </c>
      <c r="F8" s="50">
        <f t="shared" si="3"/>
        <v>3.2</v>
      </c>
      <c r="G8" s="50">
        <f t="shared" si="3"/>
        <v>4</v>
      </c>
      <c r="H8" s="50">
        <f t="shared" si="3"/>
        <v>4.8</v>
      </c>
      <c r="I8" s="50">
        <f t="shared" si="3"/>
        <v>5.92</v>
      </c>
      <c r="J8" s="50">
        <f t="shared" si="3"/>
        <v>7.2</v>
      </c>
      <c r="K8" s="50">
        <f t="shared" si="3"/>
        <v>8</v>
      </c>
      <c r="L8" s="50">
        <f t="shared" si="3"/>
        <v>8.8000000000000007</v>
      </c>
      <c r="M8" s="50">
        <f t="shared" si="3"/>
        <v>9.6000000000000014</v>
      </c>
      <c r="N8" s="50">
        <f>M8-N19+N20</f>
        <v>10.400000000000002</v>
      </c>
      <c r="O8" s="50"/>
      <c r="P8" s="50">
        <f>N8</f>
        <v>10.400000000000002</v>
      </c>
      <c r="Q8" s="50"/>
    </row>
    <row r="9" spans="1:17" ht="15" customHeight="1">
      <c r="A9" s="47" t="s">
        <v>12</v>
      </c>
      <c r="B9" s="47"/>
      <c r="C9" s="47">
        <f>Travail!AY8</f>
        <v>14</v>
      </c>
      <c r="D9" s="47">
        <f>Travail!AY27</f>
        <v>11</v>
      </c>
      <c r="E9" s="47">
        <f>Travail!AY46</f>
        <v>13</v>
      </c>
      <c r="F9" s="47">
        <f>Travail!AY65</f>
        <v>12</v>
      </c>
      <c r="G9" s="47">
        <f>Travail!AY84</f>
        <v>13</v>
      </c>
      <c r="H9" s="47">
        <f>Travail!AY103</f>
        <v>11</v>
      </c>
      <c r="I9" s="47">
        <f>Travail!AY122</f>
        <v>11</v>
      </c>
      <c r="J9" s="47">
        <f>Travail!AY141</f>
        <v>11</v>
      </c>
      <c r="K9" s="47">
        <f>Travail!AY160</f>
        <v>11</v>
      </c>
      <c r="L9" s="47">
        <f>Travail!AY179</f>
        <v>12</v>
      </c>
      <c r="M9" s="47">
        <f>Travail!AY198</f>
        <v>13</v>
      </c>
      <c r="N9" s="47">
        <f>Travail!AY217</f>
        <v>12</v>
      </c>
      <c r="O9" s="47"/>
      <c r="P9" s="47">
        <f>SUM(C9:N9)</f>
        <v>144</v>
      </c>
      <c r="Q9" s="47"/>
    </row>
    <row r="10" spans="1:17" ht="15" customHeight="1">
      <c r="A10" s="50" t="s">
        <v>4</v>
      </c>
      <c r="B10" s="50"/>
      <c r="C10" s="50">
        <f>Travail!AY9</f>
        <v>19</v>
      </c>
      <c r="D10" s="50">
        <f>Travail!AY28</f>
        <v>16</v>
      </c>
      <c r="E10" s="50">
        <f>Travail!AY47</f>
        <v>18</v>
      </c>
      <c r="F10" s="50">
        <f>Travail!AY66</f>
        <v>17</v>
      </c>
      <c r="G10" s="50">
        <f>Travail!AY85</f>
        <v>18</v>
      </c>
      <c r="H10" s="50">
        <f>Travail!AY104</f>
        <v>16</v>
      </c>
      <c r="I10" s="50">
        <f>Travail!AY123</f>
        <v>18</v>
      </c>
      <c r="J10" s="50">
        <f>Travail!AY142</f>
        <v>19</v>
      </c>
      <c r="K10" s="50">
        <f>Travail!AY161</f>
        <v>16</v>
      </c>
      <c r="L10" s="50">
        <f>Travail!AY180</f>
        <v>17</v>
      </c>
      <c r="M10" s="50">
        <f>Travail!AY199</f>
        <v>18</v>
      </c>
      <c r="N10" s="50">
        <f>Travail!AY218</f>
        <v>17</v>
      </c>
      <c r="O10" s="50"/>
      <c r="P10" s="50">
        <f t="shared" ref="P10:P20" si="4">SUM(C10:N10)</f>
        <v>209</v>
      </c>
      <c r="Q10" s="50"/>
    </row>
    <row r="11" spans="1:17" ht="15" customHeight="1">
      <c r="A11" s="47" t="s">
        <v>3</v>
      </c>
      <c r="B11" s="47"/>
      <c r="C11" s="47">
        <f>Travail!AY10</f>
        <v>152</v>
      </c>
      <c r="D11" s="47">
        <f>Travail!AY29</f>
        <v>128</v>
      </c>
      <c r="E11" s="47">
        <f>Travail!AY48</f>
        <v>144</v>
      </c>
      <c r="F11" s="47">
        <f>Travail!AY67</f>
        <v>136</v>
      </c>
      <c r="G11" s="47">
        <f>Travail!AY86</f>
        <v>144</v>
      </c>
      <c r="H11" s="47">
        <f>Travail!AY105</f>
        <v>128</v>
      </c>
      <c r="I11" s="47">
        <f>Travail!AY124</f>
        <v>144</v>
      </c>
      <c r="J11" s="47">
        <f>Travail!AY143</f>
        <v>152</v>
      </c>
      <c r="K11" s="47">
        <f>Travail!AY162</f>
        <v>128</v>
      </c>
      <c r="L11" s="47">
        <f>Travail!AY181</f>
        <v>136</v>
      </c>
      <c r="M11" s="47">
        <f>Travail!AY200</f>
        <v>144</v>
      </c>
      <c r="N11" s="47">
        <f>Travail!AY219</f>
        <v>136</v>
      </c>
      <c r="O11" s="47"/>
      <c r="P11" s="47">
        <f t="shared" si="4"/>
        <v>1672</v>
      </c>
      <c r="Q11" s="47"/>
    </row>
    <row r="12" spans="1:17" ht="15" customHeight="1">
      <c r="A12" s="50" t="s">
        <v>13</v>
      </c>
      <c r="B12" s="50"/>
      <c r="C12" s="50">
        <f>Travail!AY11</f>
        <v>0</v>
      </c>
      <c r="D12" s="50">
        <f>Travail!AY30</f>
        <v>0</v>
      </c>
      <c r="E12" s="50">
        <f>Travail!AY49</f>
        <v>0</v>
      </c>
      <c r="F12" s="50">
        <f>Travail!AY68</f>
        <v>0</v>
      </c>
      <c r="G12" s="50">
        <f>Travail!AY87</f>
        <v>0</v>
      </c>
      <c r="H12" s="50">
        <f>Travail!AY106</f>
        <v>0</v>
      </c>
      <c r="I12" s="50">
        <f>Travail!AY125</f>
        <v>0</v>
      </c>
      <c r="J12" s="50">
        <f>Travail!AY144</f>
        <v>0</v>
      </c>
      <c r="K12" s="50">
        <f>Travail!AY163</f>
        <v>0</v>
      </c>
      <c r="L12" s="50">
        <f>Travail!AY182</f>
        <v>0</v>
      </c>
      <c r="M12" s="50">
        <f>Travail!AY201</f>
        <v>0</v>
      </c>
      <c r="N12" s="50">
        <f>Travail!AY220</f>
        <v>0</v>
      </c>
      <c r="O12" s="50"/>
      <c r="P12" s="50">
        <f t="shared" si="4"/>
        <v>0</v>
      </c>
      <c r="Q12" s="50"/>
    </row>
    <row r="13" spans="1:17" ht="15" customHeight="1">
      <c r="A13" s="47" t="s">
        <v>6</v>
      </c>
      <c r="B13" s="47"/>
      <c r="C13" s="47">
        <f>Travail!AY12</f>
        <v>0</v>
      </c>
      <c r="D13" s="47">
        <f>Travail!AY31</f>
        <v>0</v>
      </c>
      <c r="E13" s="47">
        <f>Travail!AY50</f>
        <v>0</v>
      </c>
      <c r="F13" s="47">
        <f>Travail!AY69</f>
        <v>0</v>
      </c>
      <c r="G13" s="47">
        <f>Travail!AY88</f>
        <v>0</v>
      </c>
      <c r="H13" s="47">
        <f>Travail!AY107</f>
        <v>0</v>
      </c>
      <c r="I13" s="47">
        <f>Travail!AY126</f>
        <v>0</v>
      </c>
      <c r="J13" s="47">
        <f>Travail!AY145</f>
        <v>0</v>
      </c>
      <c r="K13" s="47">
        <f>Travail!AY164</f>
        <v>0</v>
      </c>
      <c r="L13" s="47">
        <f>Travail!AY183</f>
        <v>0</v>
      </c>
      <c r="M13" s="47">
        <f>Travail!AY202</f>
        <v>0</v>
      </c>
      <c r="N13" s="47">
        <f>Travail!AY221</f>
        <v>0</v>
      </c>
      <c r="O13" s="47"/>
      <c r="P13" s="47">
        <f t="shared" si="4"/>
        <v>0</v>
      </c>
      <c r="Q13" s="47"/>
    </row>
    <row r="14" spans="1:17" ht="15" customHeight="1">
      <c r="A14" s="50" t="s">
        <v>5</v>
      </c>
      <c r="B14" s="50"/>
      <c r="C14" s="50">
        <f>Travail!AY13</f>
        <v>0</v>
      </c>
      <c r="D14" s="50">
        <f>Travail!AY32</f>
        <v>0</v>
      </c>
      <c r="E14" s="50">
        <f>Travail!AY51</f>
        <v>0</v>
      </c>
      <c r="F14" s="50">
        <f>Travail!AY70</f>
        <v>0</v>
      </c>
      <c r="G14" s="50">
        <f>Travail!AY89</f>
        <v>0</v>
      </c>
      <c r="H14" s="50">
        <f>Travail!AY108</f>
        <v>0</v>
      </c>
      <c r="I14" s="50">
        <f>Travail!AY127</f>
        <v>0</v>
      </c>
      <c r="J14" s="50">
        <f>Travail!AY146</f>
        <v>0</v>
      </c>
      <c r="K14" s="50">
        <f>Travail!AY165</f>
        <v>0</v>
      </c>
      <c r="L14" s="50">
        <f>Travail!AY184</f>
        <v>0</v>
      </c>
      <c r="M14" s="50">
        <f>Travail!AY203</f>
        <v>0</v>
      </c>
      <c r="N14" s="50">
        <f>Travail!AY222</f>
        <v>0</v>
      </c>
      <c r="O14" s="50"/>
      <c r="P14" s="50">
        <f t="shared" si="4"/>
        <v>0</v>
      </c>
      <c r="Q14" s="50"/>
    </row>
    <row r="15" spans="1:17" ht="15" customHeight="1">
      <c r="A15" s="47" t="s">
        <v>7</v>
      </c>
      <c r="B15" s="47"/>
      <c r="C15" s="47">
        <f>Travail!AY14</f>
        <v>0</v>
      </c>
      <c r="D15" s="47">
        <f>Travail!AY33</f>
        <v>0</v>
      </c>
      <c r="E15" s="47">
        <f>Travail!AY52</f>
        <v>0</v>
      </c>
      <c r="F15" s="47">
        <f>Travail!AY71</f>
        <v>0</v>
      </c>
      <c r="G15" s="47">
        <f>Travail!AY90</f>
        <v>0</v>
      </c>
      <c r="H15" s="47">
        <f>Travail!AY109</f>
        <v>0</v>
      </c>
      <c r="I15" s="47">
        <f>Travail!AY128</f>
        <v>0</v>
      </c>
      <c r="J15" s="47">
        <f>Travail!AY147</f>
        <v>0</v>
      </c>
      <c r="K15" s="47">
        <f>Travail!AY166</f>
        <v>0</v>
      </c>
      <c r="L15" s="47">
        <f>Travail!AY185</f>
        <v>0</v>
      </c>
      <c r="M15" s="47">
        <f>Travail!AY204</f>
        <v>0</v>
      </c>
      <c r="N15" s="47">
        <f>Travail!AY223</f>
        <v>0</v>
      </c>
      <c r="O15" s="47"/>
      <c r="P15" s="47">
        <f t="shared" si="4"/>
        <v>0</v>
      </c>
      <c r="Q15" s="47"/>
    </row>
    <row r="16" spans="1:17" ht="15" customHeight="1">
      <c r="A16" s="50" t="s">
        <v>8</v>
      </c>
      <c r="B16" s="50"/>
      <c r="C16" s="50">
        <f>Travail!AY15</f>
        <v>0</v>
      </c>
      <c r="D16" s="50">
        <f>Travail!AY34</f>
        <v>0</v>
      </c>
      <c r="E16" s="50">
        <f>Travail!AY53</f>
        <v>0</v>
      </c>
      <c r="F16" s="50">
        <f>Travail!AY72</f>
        <v>0</v>
      </c>
      <c r="G16" s="50">
        <f>Travail!AY91</f>
        <v>0</v>
      </c>
      <c r="H16" s="50">
        <f>Travail!AY110</f>
        <v>0</v>
      </c>
      <c r="I16" s="50">
        <f>Travail!AY129</f>
        <v>0</v>
      </c>
      <c r="J16" s="50">
        <f>Travail!AY148</f>
        <v>0</v>
      </c>
      <c r="K16" s="50">
        <f>Travail!AY167</f>
        <v>0</v>
      </c>
      <c r="L16" s="50">
        <f>Travail!AY186</f>
        <v>0</v>
      </c>
      <c r="M16" s="50">
        <f>Travail!AY205</f>
        <v>0</v>
      </c>
      <c r="N16" s="50">
        <f>Travail!AY224</f>
        <v>0</v>
      </c>
      <c r="O16" s="50"/>
      <c r="P16" s="50">
        <f t="shared" si="4"/>
        <v>0</v>
      </c>
      <c r="Q16" s="50"/>
    </row>
    <row r="17" spans="1:17" ht="15" customHeight="1">
      <c r="A17" s="47" t="s">
        <v>9</v>
      </c>
      <c r="B17" s="47"/>
      <c r="C17" s="47">
        <f>Travail!AY16</f>
        <v>0</v>
      </c>
      <c r="D17" s="47">
        <f>Travail!AY35</f>
        <v>0</v>
      </c>
      <c r="E17" s="47">
        <f>Travail!AY54</f>
        <v>0</v>
      </c>
      <c r="F17" s="47">
        <f>Travail!AY73</f>
        <v>0</v>
      </c>
      <c r="G17" s="47">
        <f>Travail!AY92</f>
        <v>0</v>
      </c>
      <c r="H17" s="47">
        <f>Travail!AY111</f>
        <v>0</v>
      </c>
      <c r="I17" s="47">
        <f>Travail!AY130</f>
        <v>0</v>
      </c>
      <c r="J17" s="47">
        <f>Travail!AY149</f>
        <v>0</v>
      </c>
      <c r="K17" s="47">
        <f>Travail!AY168</f>
        <v>0</v>
      </c>
      <c r="L17" s="47">
        <f>Travail!AY187</f>
        <v>0</v>
      </c>
      <c r="M17" s="47">
        <f>Travail!AY206</f>
        <v>0</v>
      </c>
      <c r="N17" s="47">
        <f>Travail!AY225</f>
        <v>0</v>
      </c>
      <c r="O17" s="47"/>
      <c r="P17" s="47">
        <f t="shared" si="4"/>
        <v>0</v>
      </c>
      <c r="Q17" s="47"/>
    </row>
    <row r="18" spans="1:17" ht="15" customHeight="1">
      <c r="A18" s="50" t="s">
        <v>11</v>
      </c>
      <c r="B18" s="50"/>
      <c r="C18" s="50">
        <f>Travail!AY17</f>
        <v>0</v>
      </c>
      <c r="D18" s="50">
        <f>Travail!AY36</f>
        <v>0</v>
      </c>
      <c r="E18" s="50">
        <f>Travail!AY55</f>
        <v>0</v>
      </c>
      <c r="F18" s="50">
        <f>Travail!AY74</f>
        <v>0</v>
      </c>
      <c r="G18" s="50">
        <f>Travail!AY93</f>
        <v>0</v>
      </c>
      <c r="H18" s="50">
        <f>Travail!AY112</f>
        <v>0</v>
      </c>
      <c r="I18" s="50">
        <f>Travail!AY131</f>
        <v>0</v>
      </c>
      <c r="J18" s="50">
        <f>Travail!AY150</f>
        <v>0</v>
      </c>
      <c r="K18" s="50">
        <f>Travail!AY169</f>
        <v>0</v>
      </c>
      <c r="L18" s="50">
        <f>Travail!AY188</f>
        <v>0</v>
      </c>
      <c r="M18" s="50">
        <f>Travail!AY207</f>
        <v>0</v>
      </c>
      <c r="N18" s="50">
        <f>Travail!AY226</f>
        <v>0</v>
      </c>
      <c r="O18" s="50"/>
      <c r="P18" s="50">
        <f>SUM(C18:F18)</f>
        <v>0</v>
      </c>
      <c r="Q18" s="50" t="s">
        <v>45</v>
      </c>
    </row>
    <row r="19" spans="1:17" ht="15" customHeight="1">
      <c r="A19" s="47" t="s">
        <v>10</v>
      </c>
      <c r="B19" s="47"/>
      <c r="C19" s="47">
        <f>Travail!AY18</f>
        <v>0</v>
      </c>
      <c r="D19" s="47">
        <f>Travail!AY37</f>
        <v>0</v>
      </c>
      <c r="E19" s="47">
        <f>Travail!AY56</f>
        <v>0</v>
      </c>
      <c r="F19" s="47">
        <f>Travail!AY75</f>
        <v>0</v>
      </c>
      <c r="G19" s="47">
        <f>Travail!AY94</f>
        <v>0</v>
      </c>
      <c r="H19" s="47">
        <f>Travail!AY113</f>
        <v>0</v>
      </c>
      <c r="I19" s="47">
        <f>Travail!AY132</f>
        <v>0</v>
      </c>
      <c r="J19" s="47">
        <f>Travail!AY151</f>
        <v>0</v>
      </c>
      <c r="K19" s="47">
        <f>Travail!AY170</f>
        <v>0</v>
      </c>
      <c r="L19" s="47">
        <f>Travail!AY189</f>
        <v>0</v>
      </c>
      <c r="M19" s="47">
        <f>Travail!AY208</f>
        <v>0</v>
      </c>
      <c r="N19" s="47">
        <f>Travail!AY227</f>
        <v>0</v>
      </c>
      <c r="O19" s="47"/>
      <c r="P19" s="47">
        <f t="shared" si="4"/>
        <v>0</v>
      </c>
      <c r="Q19" s="47"/>
    </row>
    <row r="20" spans="1:17" ht="15" customHeight="1">
      <c r="A20" s="50" t="s">
        <v>37</v>
      </c>
      <c r="B20" s="50"/>
      <c r="C20" s="50">
        <f>Travail!AY19</f>
        <v>0.8</v>
      </c>
      <c r="D20" s="50">
        <f>Travail!AY38</f>
        <v>0.8</v>
      </c>
      <c r="E20" s="50">
        <f>Travail!AY57</f>
        <v>0.8</v>
      </c>
      <c r="F20" s="50">
        <f>Travail!AY76</f>
        <v>0.8</v>
      </c>
      <c r="G20" s="50">
        <f>Travail!AY95</f>
        <v>0.8</v>
      </c>
      <c r="H20" s="50">
        <f>Travail!AY114</f>
        <v>0.8</v>
      </c>
      <c r="I20" s="50">
        <f>Travail!AY133</f>
        <v>1.1200000000000001</v>
      </c>
      <c r="J20" s="50">
        <f>Travail!AY152</f>
        <v>1.28</v>
      </c>
      <c r="K20" s="50">
        <f>Travail!AY171</f>
        <v>0.8</v>
      </c>
      <c r="L20" s="50">
        <f>Travail!AY190</f>
        <v>0.8</v>
      </c>
      <c r="M20" s="50">
        <f>Travail!AY209</f>
        <v>0.8</v>
      </c>
      <c r="N20" s="50">
        <f>Travail!AY228</f>
        <v>0.8</v>
      </c>
      <c r="O20" s="50"/>
      <c r="P20" s="50">
        <f t="shared" si="4"/>
        <v>10.400000000000002</v>
      </c>
      <c r="Q20" s="50"/>
    </row>
    <row r="21" spans="1:17" ht="15" customHeight="1">
      <c r="A21" s="47" t="s">
        <v>38</v>
      </c>
      <c r="B21" s="47"/>
      <c r="C21" s="47">
        <f>Travail!AZ5</f>
        <v>0</v>
      </c>
      <c r="D21" s="47">
        <f>Travail!AZ24</f>
        <v>0</v>
      </c>
      <c r="E21" s="47">
        <f>Travail!AZ43</f>
        <v>0</v>
      </c>
      <c r="F21" s="47">
        <f>Travail!AZ62</f>
        <v>0</v>
      </c>
      <c r="G21" s="47">
        <f>Travail!AZ81</f>
        <v>0</v>
      </c>
      <c r="H21" s="47">
        <f>Travail!AZ100</f>
        <v>0</v>
      </c>
      <c r="I21" s="47">
        <f>Travail!AZ119</f>
        <v>0</v>
      </c>
      <c r="J21" s="47">
        <f>Travail!AZ138</f>
        <v>0</v>
      </c>
      <c r="K21" s="47">
        <f>Travail!AZ157</f>
        <v>0</v>
      </c>
      <c r="L21" s="47">
        <f>Travail!AZ176</f>
        <v>0</v>
      </c>
      <c r="M21" s="47">
        <f>Travail!AZ195</f>
        <v>0</v>
      </c>
      <c r="N21" s="47">
        <f>Travail!AZ214</f>
        <v>0</v>
      </c>
      <c r="O21" s="47"/>
      <c r="P21" s="47"/>
      <c r="Q21" s="47"/>
    </row>
    <row r="22" spans="1:17" ht="15" customHeight="1">
      <c r="A22" s="50" t="s">
        <v>39</v>
      </c>
      <c r="B22" s="50"/>
      <c r="C22" s="50">
        <f>Travail!BA5</f>
        <v>0</v>
      </c>
      <c r="D22" s="50">
        <f>Travail!BA24</f>
        <v>0</v>
      </c>
      <c r="E22" s="50">
        <f>Travail!BA43</f>
        <v>0</v>
      </c>
      <c r="F22" s="50">
        <f>Travail!BA62</f>
        <v>0</v>
      </c>
      <c r="G22" s="50">
        <f>Travail!BA81</f>
        <v>0</v>
      </c>
      <c r="H22" s="50">
        <f>Travail!BA100</f>
        <v>0</v>
      </c>
      <c r="I22" s="50">
        <f>Travail!BA119</f>
        <v>0</v>
      </c>
      <c r="J22" s="50">
        <f>Travail!BA138</f>
        <v>0</v>
      </c>
      <c r="K22" s="50">
        <f>Travail!BA157</f>
        <v>0</v>
      </c>
      <c r="L22" s="50">
        <f>Travail!BA176</f>
        <v>0</v>
      </c>
      <c r="M22" s="50">
        <f>Travail!BA195</f>
        <v>0</v>
      </c>
      <c r="N22" s="50">
        <f>Travail!BA214</f>
        <v>0</v>
      </c>
      <c r="O22" s="50"/>
      <c r="P22" s="50">
        <f>N22</f>
        <v>0</v>
      </c>
      <c r="Q22" s="50"/>
    </row>
    <row r="23" spans="1:17" ht="15" customHeight="1">
      <c r="A23" s="47" t="s">
        <v>113</v>
      </c>
      <c r="B23" s="47"/>
      <c r="C23" s="47">
        <f>Travail!AY22</f>
        <v>0</v>
      </c>
      <c r="D23" s="47">
        <f>Travail!AY41</f>
        <v>0</v>
      </c>
      <c r="E23" s="47">
        <f>Travail!AY60</f>
        <v>0</v>
      </c>
      <c r="F23" s="47">
        <f>Travail!AY79</f>
        <v>0</v>
      </c>
      <c r="G23" s="47">
        <f>Travail!AY98</f>
        <v>0</v>
      </c>
      <c r="H23" s="47">
        <f>Travail!AY117</f>
        <v>0</v>
      </c>
      <c r="I23" s="47">
        <f>Travail!AY136</f>
        <v>0</v>
      </c>
      <c r="J23" s="47">
        <f>Travail!AY155</f>
        <v>0</v>
      </c>
      <c r="K23" s="47">
        <f>Travail!AY174</f>
        <v>0</v>
      </c>
      <c r="L23" s="47">
        <f>Travail!AY193</f>
        <v>0</v>
      </c>
      <c r="M23" s="47">
        <f>Travail!AY212</f>
        <v>0</v>
      </c>
      <c r="N23" s="47">
        <f>Travail!AY231</f>
        <v>0</v>
      </c>
      <c r="O23" s="47"/>
      <c r="P23" s="47">
        <f t="shared" ref="P23" si="5">SUM(C23:N23)</f>
        <v>0</v>
      </c>
      <c r="Q23" s="47"/>
    </row>
    <row r="24" spans="1:17">
      <c r="A24" s="30"/>
    </row>
    <row r="25" spans="1:17">
      <c r="A25" s="30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4"/>
  <sheetViews>
    <sheetView workbookViewId="0">
      <selection activeCell="B1" sqref="B1"/>
    </sheetView>
  </sheetViews>
  <sheetFormatPr baseColWidth="10" defaultRowHeight="15.75"/>
  <cols>
    <col min="1" max="1" width="20.5546875" customWidth="1"/>
  </cols>
  <sheetData>
    <row r="1" spans="1:4">
      <c r="A1" t="s">
        <v>73</v>
      </c>
      <c r="B1" s="65" t="s">
        <v>29</v>
      </c>
      <c r="D1" t="s">
        <v>115</v>
      </c>
    </row>
    <row r="3" spans="1:4">
      <c r="A3" s="47" t="s">
        <v>12</v>
      </c>
      <c r="B3" s="47">
        <f>INDEX(Synthése!$C$9:$N$23,MATCH(A3,Synthése!$A$9:$A$23,0),MATCH($B$1,Janv,0))</f>
        <v>14</v>
      </c>
      <c r="C3" s="92"/>
      <c r="D3" s="92"/>
    </row>
    <row r="4" spans="1:4">
      <c r="A4" s="50" t="s">
        <v>4</v>
      </c>
      <c r="B4" s="50">
        <f>INDEX(Synthése!$C$9:$N$23,MATCH(A4,Synthése!$A$9:$A$23,0),MATCH($B$1,Janv,0))</f>
        <v>19</v>
      </c>
      <c r="C4" s="92"/>
      <c r="D4" s="92"/>
    </row>
    <row r="5" spans="1:4">
      <c r="A5" s="47" t="s">
        <v>3</v>
      </c>
      <c r="B5" s="47">
        <f>INDEX(Synthése!$C$9:$N$23,MATCH(A5,Synthése!$A$9:$A$23,0),MATCH($B$1,Janv,0))</f>
        <v>152</v>
      </c>
      <c r="C5" s="92"/>
      <c r="D5" s="92"/>
    </row>
    <row r="6" spans="1:4">
      <c r="A6" s="50" t="s">
        <v>13</v>
      </c>
      <c r="B6" s="50">
        <f>INDEX(Synthése!$C$9:$N$23,MATCH(A6,Synthése!$A$9:$A$23,0),MATCH($B$1,Janv,0))</f>
        <v>0</v>
      </c>
      <c r="C6" s="92"/>
      <c r="D6" s="92"/>
    </row>
    <row r="7" spans="1:4">
      <c r="A7" s="47" t="s">
        <v>6</v>
      </c>
      <c r="B7" s="47">
        <f>INDEX(Synthése!$C$9:$N$23,MATCH(A7,Synthése!$A$9:$A$23,0),MATCH($B$1,Janv,0))</f>
        <v>0</v>
      </c>
      <c r="C7" s="92">
        <f>B18+(B18/4)</f>
        <v>16.6875</v>
      </c>
      <c r="D7" s="92">
        <f>C7*B7</f>
        <v>0</v>
      </c>
    </row>
    <row r="8" spans="1:4">
      <c r="A8" s="50" t="s">
        <v>5</v>
      </c>
      <c r="B8" s="50">
        <f>INDEX(Synthése!$C$9:$N$23,MATCH(A8,Synthése!$A$9:$A$23,0),MATCH($B$1,Janv,0))</f>
        <v>0</v>
      </c>
      <c r="C8" s="92">
        <f>B18+(B18/2)</f>
        <v>20.024999999999999</v>
      </c>
      <c r="D8" s="92">
        <f>C8*B8</f>
        <v>0</v>
      </c>
    </row>
    <row r="9" spans="1:4">
      <c r="A9" s="47" t="s">
        <v>7</v>
      </c>
      <c r="B9" s="47">
        <f>INDEX(Synthése!$C$9:$N$23,MATCH(A9,Synthése!$A$9:$A$23,0),MATCH($B$1,Janv,0))</f>
        <v>0</v>
      </c>
      <c r="C9" s="92">
        <f>B18*2</f>
        <v>26.7</v>
      </c>
      <c r="D9" s="92">
        <f>C9*B9</f>
        <v>0</v>
      </c>
    </row>
    <row r="10" spans="1:4">
      <c r="A10" s="50" t="s">
        <v>8</v>
      </c>
      <c r="B10" s="50">
        <f>INDEX(Synthése!$C$9:$N$23,MATCH(A10,Synthése!$A$9:$A$23,0),MATCH($B$1,Janv,0))</f>
        <v>0</v>
      </c>
      <c r="C10" s="92"/>
      <c r="D10" s="92"/>
    </row>
    <row r="11" spans="1:4">
      <c r="A11" s="47" t="s">
        <v>9</v>
      </c>
      <c r="B11" s="47">
        <f>INDEX(Synthése!$C$9:$N$23,MATCH(A11,Synthése!$A$9:$A$23,0),MATCH($B$1,Janv,0))</f>
        <v>0</v>
      </c>
      <c r="C11" s="92"/>
      <c r="D11" s="92"/>
    </row>
    <row r="12" spans="1:4">
      <c r="A12" s="50" t="s">
        <v>11</v>
      </c>
      <c r="B12" s="50">
        <f>INDEX(Synthése!$C$9:$N$23,MATCH(A12,Synthése!$A$9:$A$23,0),MATCH($B$1,Janv,0))</f>
        <v>0</v>
      </c>
      <c r="D12" s="92">
        <f>B12*B19</f>
        <v>0</v>
      </c>
    </row>
    <row r="13" spans="1:4">
      <c r="A13" s="47" t="s">
        <v>10</v>
      </c>
      <c r="B13" s="47">
        <f>INDEX(Synthése!$C$9:$N$23,MATCH(A13,Synthése!$A$9:$A$23,0),MATCH($B$1,Janv,0))</f>
        <v>0</v>
      </c>
      <c r="C13" s="92"/>
      <c r="D13" s="92"/>
    </row>
    <row r="14" spans="1:4">
      <c r="A14" s="50" t="s">
        <v>37</v>
      </c>
      <c r="B14" s="50">
        <f>INDEX(Synthése!$C$9:$N$23,MATCH(A14,Synthése!$A$9:$A$23,0),MATCH($B$1,Janv,0))</f>
        <v>0.8</v>
      </c>
      <c r="C14" s="92"/>
      <c r="D14" s="92"/>
    </row>
    <row r="15" spans="1:4">
      <c r="A15" s="47" t="s">
        <v>38</v>
      </c>
      <c r="B15" s="47">
        <f>INDEX(Synthése!$C$9:$N$23,MATCH(A15,Synthése!$A$9:$A$23,0),MATCH($B$1,Janv,0))</f>
        <v>0</v>
      </c>
      <c r="C15" s="92"/>
      <c r="D15" s="92"/>
    </row>
    <row r="16" spans="1:4">
      <c r="A16" s="50" t="s">
        <v>39</v>
      </c>
      <c r="B16" s="50">
        <f>INDEX(Synthése!$C$9:$N$23,MATCH(A16,Synthése!$A$9:$A$23,0),MATCH($B$1,Janv,0))</f>
        <v>0</v>
      </c>
      <c r="C16" s="92"/>
      <c r="D16" s="92"/>
    </row>
    <row r="17" spans="1:9">
      <c r="A17" s="47" t="s">
        <v>113</v>
      </c>
      <c r="B17" s="47">
        <f>INDEX(Synthése!$C$9:$N$23,MATCH(A17,Synthése!$A$9:$A$23,0),MATCH($B$1,Janv,0))</f>
        <v>0</v>
      </c>
      <c r="F17" s="64"/>
      <c r="G17" s="61"/>
      <c r="H17" s="61"/>
      <c r="I17" s="61"/>
    </row>
    <row r="18" spans="1:9">
      <c r="A18" t="s">
        <v>105</v>
      </c>
      <c r="B18">
        <v>13.35</v>
      </c>
      <c r="D18" t="s">
        <v>104</v>
      </c>
      <c r="E18" s="93">
        <f>B22+B20+D7+D8+D9+D12</f>
        <v>1730</v>
      </c>
      <c r="F18" s="64"/>
      <c r="G18" s="61"/>
      <c r="H18" s="61"/>
      <c r="I18" s="61"/>
    </row>
    <row r="19" spans="1:9">
      <c r="A19" t="s">
        <v>107</v>
      </c>
      <c r="B19">
        <v>50</v>
      </c>
      <c r="F19" s="64"/>
      <c r="G19" s="61"/>
      <c r="H19" s="61"/>
      <c r="I19" s="61"/>
    </row>
    <row r="20" spans="1:9">
      <c r="A20" t="s">
        <v>108</v>
      </c>
      <c r="B20">
        <v>80</v>
      </c>
      <c r="F20" s="64"/>
      <c r="G20" s="61"/>
      <c r="H20" s="61"/>
      <c r="I20" s="61"/>
    </row>
    <row r="21" spans="1:9">
      <c r="F21" s="64"/>
      <c r="G21" s="61"/>
      <c r="H21" s="61"/>
      <c r="I21" s="61"/>
    </row>
    <row r="22" spans="1:9">
      <c r="A22" t="s">
        <v>106</v>
      </c>
      <c r="B22">
        <v>1650</v>
      </c>
      <c r="F22" s="64"/>
      <c r="G22" s="63"/>
      <c r="H22" s="61"/>
      <c r="I22" s="61"/>
    </row>
    <row r="23" spans="1:9">
      <c r="F23" s="61"/>
      <c r="G23" s="62"/>
      <c r="H23" s="61"/>
      <c r="I23" s="61"/>
    </row>
    <row r="24" spans="1:9">
      <c r="G24" s="60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Synthése!$C$1:$N$1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2"/>
  <sheetViews>
    <sheetView workbookViewId="0">
      <selection activeCell="A22" sqref="A22"/>
    </sheetView>
  </sheetViews>
  <sheetFormatPr baseColWidth="10" defaultRowHeight="15.75"/>
  <sheetData>
    <row r="1" spans="1:12">
      <c r="A1" t="s">
        <v>57</v>
      </c>
    </row>
    <row r="2" spans="1:12">
      <c r="A2" t="s">
        <v>51</v>
      </c>
      <c r="B2" t="s">
        <v>54</v>
      </c>
    </row>
    <row r="3" spans="1:12">
      <c r="A3" t="s">
        <v>52</v>
      </c>
      <c r="B3" t="s">
        <v>55</v>
      </c>
    </row>
    <row r="4" spans="1:12">
      <c r="A4" t="s">
        <v>53</v>
      </c>
      <c r="B4" t="s">
        <v>56</v>
      </c>
    </row>
    <row r="5" spans="1:12">
      <c r="B5" t="s">
        <v>59</v>
      </c>
      <c r="C5" t="s">
        <v>60</v>
      </c>
      <c r="D5" t="s">
        <v>61</v>
      </c>
      <c r="E5" t="s">
        <v>62</v>
      </c>
      <c r="F5" t="s">
        <v>63</v>
      </c>
      <c r="G5" t="s">
        <v>64</v>
      </c>
      <c r="H5" t="s">
        <v>65</v>
      </c>
    </row>
    <row r="6" spans="1:12">
      <c r="A6" t="s">
        <v>58</v>
      </c>
      <c r="B6" t="s">
        <v>48</v>
      </c>
      <c r="C6" t="s">
        <v>48</v>
      </c>
      <c r="D6" t="s">
        <v>48</v>
      </c>
    </row>
    <row r="7" spans="1:12">
      <c r="A7" t="s">
        <v>66</v>
      </c>
      <c r="B7" t="s">
        <v>49</v>
      </c>
      <c r="C7" t="s">
        <v>49</v>
      </c>
      <c r="D7" t="s">
        <v>49</v>
      </c>
      <c r="E7" t="s">
        <v>49</v>
      </c>
      <c r="F7" t="s">
        <v>49</v>
      </c>
    </row>
    <row r="8" spans="1:12">
      <c r="A8" t="s">
        <v>67</v>
      </c>
      <c r="B8" t="s">
        <v>48</v>
      </c>
      <c r="E8" t="s">
        <v>48</v>
      </c>
      <c r="F8" t="s">
        <v>48</v>
      </c>
    </row>
    <row r="9" spans="1:12">
      <c r="A9" t="s">
        <v>68</v>
      </c>
      <c r="B9" t="s">
        <v>50</v>
      </c>
      <c r="C9" t="s">
        <v>50</v>
      </c>
      <c r="D9" t="s">
        <v>50</v>
      </c>
      <c r="E9" t="s">
        <v>50</v>
      </c>
      <c r="F9" t="s">
        <v>50</v>
      </c>
    </row>
    <row r="12" spans="1:12">
      <c r="B12" t="s">
        <v>59</v>
      </c>
      <c r="C12" t="s">
        <v>60</v>
      </c>
      <c r="D12" t="s">
        <v>61</v>
      </c>
      <c r="E12" t="s">
        <v>62</v>
      </c>
      <c r="F12" t="s">
        <v>63</v>
      </c>
      <c r="G12" t="s">
        <v>64</v>
      </c>
      <c r="H12" t="s">
        <v>65</v>
      </c>
    </row>
    <row r="13" spans="1:12">
      <c r="A13" t="s">
        <v>58</v>
      </c>
      <c r="B13">
        <v>1</v>
      </c>
      <c r="C13">
        <v>1</v>
      </c>
      <c r="D13">
        <v>1</v>
      </c>
    </row>
    <row r="14" spans="1:12">
      <c r="A14" t="s">
        <v>66</v>
      </c>
      <c r="B14">
        <v>1</v>
      </c>
      <c r="C14">
        <v>1</v>
      </c>
      <c r="D14">
        <v>1</v>
      </c>
      <c r="E14">
        <v>1</v>
      </c>
      <c r="F14">
        <v>1</v>
      </c>
    </row>
    <row r="15" spans="1:12">
      <c r="A15" t="s">
        <v>67</v>
      </c>
      <c r="B15">
        <v>1</v>
      </c>
      <c r="E15">
        <v>1</v>
      </c>
      <c r="F15">
        <v>1</v>
      </c>
      <c r="I15" s="16"/>
      <c r="J15" s="16"/>
      <c r="K15" s="16"/>
      <c r="L15" s="16"/>
    </row>
    <row r="16" spans="1:12">
      <c r="A16" t="s">
        <v>68</v>
      </c>
      <c r="B16">
        <v>1</v>
      </c>
      <c r="C16">
        <v>1</v>
      </c>
      <c r="D16">
        <v>1</v>
      </c>
      <c r="E16">
        <v>1</v>
      </c>
      <c r="F16">
        <v>1</v>
      </c>
    </row>
    <row r="20" spans="1:5">
      <c r="B20" t="s">
        <v>109</v>
      </c>
      <c r="C20" t="s">
        <v>110</v>
      </c>
      <c r="D20" s="96">
        <v>0.25</v>
      </c>
      <c r="E20" s="96">
        <v>0.5</v>
      </c>
    </row>
    <row r="21" spans="1:5">
      <c r="A21" t="s">
        <v>111</v>
      </c>
      <c r="B21">
        <v>0</v>
      </c>
      <c r="C21">
        <v>32</v>
      </c>
      <c r="D21">
        <v>35</v>
      </c>
      <c r="E21">
        <v>42</v>
      </c>
    </row>
    <row r="22" spans="1:5">
      <c r="C22">
        <v>1</v>
      </c>
      <c r="D22">
        <v>4</v>
      </c>
      <c r="E22">
        <v>11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Travail</vt:lpstr>
      <vt:lpstr>Jours spéciaux</vt:lpstr>
      <vt:lpstr>Synthése</vt:lpstr>
      <vt:lpstr>Paie</vt:lpstr>
      <vt:lpstr>DATA</vt:lpstr>
      <vt:lpstr>Année_Calendaire</vt:lpstr>
      <vt:lpstr>Janv</vt:lpstr>
      <vt:lpstr>Mois</vt:lpstr>
      <vt:lpstr>Travail!Zone_d_impression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Arduino</dc:creator>
  <cp:lastModifiedBy>Angéle Ard80</cp:lastModifiedBy>
  <dcterms:created xsi:type="dcterms:W3CDTF">2012-08-30T13:50:50Z</dcterms:created>
  <dcterms:modified xsi:type="dcterms:W3CDTF">2017-06-24T11:37:32Z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