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jp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drawings/drawing4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P1259\Downloads\"/>
    </mc:Choice>
  </mc:AlternateContent>
  <xr:revisionPtr revIDLastSave="0" documentId="13_ncr:1_{757774AB-91C9-487D-AE89-C5D0ABF021D4}" xr6:coauthVersionLast="45" xr6:coauthVersionMax="45" xr10:uidLastSave="{00000000-0000-0000-0000-000000000000}"/>
  <bookViews>
    <workbookView xWindow="-120" yWindow="-120" windowWidth="20730" windowHeight="11160" firstSheet="3" activeTab="4" xr2:uid="{65A0F5BA-E402-455D-ABF5-E87EE7C7CBEE}"/>
  </bookViews>
  <sheets>
    <sheet name="CritèresConventionsCollectives" sheetId="16" r:id="rId1"/>
    <sheet name="Mode opératoire" sheetId="4" r:id="rId2"/>
    <sheet name="Renseignements salarié" sheetId="1" r:id="rId3"/>
    <sheet name="Feuille Calcul Indemnités" sheetId="3" r:id="rId4"/>
    <sheet name="Courriers Salariés" sheetId="11" r:id="rId5"/>
    <sheet name="CONTROLE DSN FIN CONTRAT" sheetId="17" r:id="rId6"/>
    <sheet name="Calcul CP" sheetId="12" r:id="rId7"/>
    <sheet name="CALCUL ES" sheetId="8" r:id="rId8"/>
    <sheet name="A saisir en paie" sheetId="5" r:id="rId9"/>
  </sheets>
  <externalReferences>
    <externalReference r:id="rId10"/>
  </externalReferences>
  <definedNames>
    <definedName name="a">[1]Feuil2!$A$1:$A$24</definedName>
    <definedName name="Bâtiment">#REF!</definedName>
    <definedName name="Bâtiment_Cadres">#REF!</definedName>
    <definedName name="Bâtiment_Etams">#REF!</definedName>
    <definedName name="Bâtiment_Ouvriers">#REF!</definedName>
    <definedName name="CaseACocher1" localSheetId="2">'Renseignements salarié'!#REF!</definedName>
    <definedName name="Commerce_de_Gros">#REF!</definedName>
    <definedName name="Commerce_de_Gros_Cadres">#REF!</definedName>
    <definedName name="Commerce_de_Gros_Employés">#REF!</definedName>
    <definedName name="Commerce_de_Gros_Maîtrise">#REF!</definedName>
    <definedName name="CP">'[1]Jours Congés'!$B$1:$B$9</definedName>
    <definedName name="Impression">'Feuille Calcul Indemnités'!$A$1:$K$219</definedName>
    <definedName name="rt" localSheetId="6">#REF!</definedName>
    <definedName name="rt" localSheetId="5">#REF!</definedName>
    <definedName name="rt" localSheetId="0">#REF!</definedName>
    <definedName name="rt">#REF!</definedName>
    <definedName name="Statuts_Bâtiment">#REF!</definedName>
    <definedName name="Statuts_TP">#REF!</definedName>
    <definedName name="Travaux_Publics">#REF!</definedName>
    <definedName name="Travaux_Publics_Cadres">#REF!</definedName>
    <definedName name="Travaux_Publics_Etams">#REF!</definedName>
    <definedName name="Travaux_Publics_Ouvriers">#REF!</definedName>
    <definedName name="X">'[1]Jours Congés'!$D$1</definedName>
    <definedName name="_xlnm.Print_Area" localSheetId="4">'Courriers Salariés'!$A$1:$G$289</definedName>
    <definedName name="_xlnm.Print_Area" localSheetId="3">'Feuille Calcul Indemnités'!$A$1:$K$219</definedName>
    <definedName name="_xlnm.Print_Area" localSheetId="2">'Renseignements salarié'!$A$1:$E$65</definedName>
  </definedNames>
  <calcPr calcId="191029" calcMode="autoNoTable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F1" i="12" l="1"/>
  <c r="B2" i="12"/>
  <c r="B1" i="12"/>
  <c r="B3" i="12" l="1"/>
  <c r="C4" i="12" l="1"/>
  <c r="H18" i="12"/>
  <c r="H14" i="12"/>
  <c r="H10" i="12"/>
  <c r="H9" i="12"/>
  <c r="H16" i="12"/>
  <c r="H15" i="12"/>
  <c r="H7" i="12"/>
  <c r="I7" i="12" s="1"/>
  <c r="H17" i="12"/>
  <c r="H13" i="12"/>
  <c r="H12" i="12"/>
  <c r="H8" i="12"/>
  <c r="H11" i="12"/>
  <c r="A4" i="12"/>
  <c r="A7" i="12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B18" i="12" s="1"/>
  <c r="G6" i="12"/>
  <c r="E6" i="12"/>
  <c r="B4" i="12"/>
  <c r="E5" i="17"/>
  <c r="E6" i="17"/>
  <c r="E7" i="17"/>
  <c r="E8" i="17"/>
  <c r="E9" i="17"/>
  <c r="E10" i="17"/>
  <c r="E11" i="17"/>
  <c r="E12" i="17"/>
  <c r="E13" i="17"/>
  <c r="E14" i="17"/>
  <c r="E15" i="17"/>
  <c r="E16" i="17"/>
  <c r="E4" i="17"/>
  <c r="B11" i="12" l="1"/>
  <c r="B10" i="12"/>
  <c r="B9" i="12"/>
  <c r="B15" i="12"/>
  <c r="B8" i="12"/>
  <c r="B7" i="12"/>
  <c r="B17" i="12"/>
  <c r="B16" i="12"/>
  <c r="B14" i="12"/>
  <c r="B13" i="12"/>
  <c r="B12" i="12"/>
  <c r="I8" i="12"/>
  <c r="I9" i="12"/>
  <c r="I10" i="12"/>
  <c r="I11" i="12"/>
  <c r="A1" i="3"/>
  <c r="G65" i="3"/>
  <c r="F17" i="3"/>
  <c r="D23" i="1"/>
  <c r="F20" i="3" s="1"/>
  <c r="D63" i="3" a="1"/>
  <c r="D63" i="3" s="1"/>
  <c r="A63" i="3" a="1"/>
  <c r="A63" i="3" s="1"/>
  <c r="A62" i="3" a="1"/>
  <c r="A62" i="3" s="1"/>
  <c r="D62" i="3" s="1" a="1"/>
  <c r="D62" i="3" s="1"/>
  <c r="A61" i="3" a="1"/>
  <c r="A61" i="3" s="1"/>
  <c r="A60" i="3" a="1"/>
  <c r="A60" i="3" s="1"/>
  <c r="A58" i="3" a="1"/>
  <c r="A58" i="3" s="1"/>
  <c r="A59" i="3" a="1"/>
  <c r="A59" i="3" s="1"/>
  <c r="A56" i="3" a="1"/>
  <c r="A56" i="3" s="1"/>
  <c r="A55" i="3" a="1"/>
  <c r="A55" i="3" s="1"/>
  <c r="A54" i="3" a="1"/>
  <c r="A54" i="3" s="1"/>
  <c r="A53" i="3" a="1"/>
  <c r="A53" i="3" s="1"/>
  <c r="A52" i="3" a="1"/>
  <c r="A52" i="3" s="1"/>
  <c r="I12" i="12" l="1"/>
  <c r="D8" i="12"/>
  <c r="E8" i="12" s="1"/>
  <c r="D7" i="12"/>
  <c r="E7" i="12" s="1"/>
  <c r="I13" i="12"/>
  <c r="B22" i="3"/>
  <c r="B20" i="3"/>
  <c r="B19" i="3"/>
  <c r="B18" i="3"/>
  <c r="B17" i="3"/>
  <c r="B16" i="3"/>
  <c r="B33" i="3"/>
  <c r="C33" i="3"/>
  <c r="B34" i="3"/>
  <c r="C34" i="3"/>
  <c r="B35" i="3"/>
  <c r="C35" i="3"/>
  <c r="B36" i="3"/>
  <c r="C36" i="3"/>
  <c r="B37" i="3"/>
  <c r="C37" i="3"/>
  <c r="B38" i="3"/>
  <c r="C38" i="3"/>
  <c r="B39" i="3"/>
  <c r="C39" i="3"/>
  <c r="B40" i="3"/>
  <c r="C40" i="3"/>
  <c r="B41" i="3"/>
  <c r="C41" i="3"/>
  <c r="B42" i="3"/>
  <c r="C42" i="3"/>
  <c r="B43" i="3"/>
  <c r="C43" i="3"/>
  <c r="C32" i="3"/>
  <c r="B32" i="3"/>
  <c r="F8" i="12" l="1"/>
  <c r="G8" i="12" s="1"/>
  <c r="J8" i="12" s="1"/>
  <c r="D9" i="12"/>
  <c r="E9" i="12" s="1"/>
  <c r="K1" i="11"/>
  <c r="I14" i="12" l="1"/>
  <c r="F9" i="12"/>
  <c r="G9" i="12" s="1"/>
  <c r="J9" i="12" s="1"/>
  <c r="D10" i="12"/>
  <c r="E10" i="12" s="1"/>
  <c r="F7" i="12"/>
  <c r="G7" i="12" s="1"/>
  <c r="J7" i="12" s="1"/>
  <c r="A259" i="11"/>
  <c r="E270" i="11"/>
  <c r="B267" i="11"/>
  <c r="B216" i="11"/>
  <c r="E9" i="11"/>
  <c r="I15" i="12" l="1"/>
  <c r="D11" i="12"/>
  <c r="E11" i="12" s="1"/>
  <c r="F10" i="12"/>
  <c r="G10" i="12" s="1"/>
  <c r="J10" i="12" s="1"/>
  <c r="I16" i="12"/>
  <c r="C251" i="11"/>
  <c r="C193" i="11"/>
  <c r="F244" i="11"/>
  <c r="C243" i="11"/>
  <c r="F11" i="12" l="1"/>
  <c r="G11" i="12" s="1"/>
  <c r="J11" i="12" s="1"/>
  <c r="D12" i="12"/>
  <c r="I17" i="12"/>
  <c r="B13" i="11"/>
  <c r="E12" i="12" l="1"/>
  <c r="F12" i="12" s="1"/>
  <c r="G12" i="12" s="1"/>
  <c r="J12" i="12" s="1"/>
  <c r="D13" i="12"/>
  <c r="E13" i="12" s="1"/>
  <c r="I18" i="12"/>
  <c r="B67" i="11"/>
  <c r="B125" i="11" s="1"/>
  <c r="A141" i="11"/>
  <c r="A137" i="11"/>
  <c r="E74" i="11"/>
  <c r="E132" i="11" s="1"/>
  <c r="A260" i="11"/>
  <c r="B70" i="11"/>
  <c r="B69" i="11"/>
  <c r="B68" i="11"/>
  <c r="A21" i="11"/>
  <c r="A26" i="11"/>
  <c r="B74" i="11"/>
  <c r="F13" i="12" l="1"/>
  <c r="G13" i="12" s="1"/>
  <c r="J13" i="12" s="1"/>
  <c r="D14" i="12"/>
  <c r="E14" i="12" s="1"/>
  <c r="D15" i="12"/>
  <c r="E15" i="12" s="1"/>
  <c r="C216" i="11"/>
  <c r="C267" i="11"/>
  <c r="B127" i="11"/>
  <c r="B255" i="11"/>
  <c r="B128" i="11"/>
  <c r="B256" i="11"/>
  <c r="G93" i="11"/>
  <c r="F184" i="11"/>
  <c r="E212" i="11" s="1"/>
  <c r="F242" i="11"/>
  <c r="A248" i="11"/>
  <c r="A190" i="11"/>
  <c r="A212" i="11" s="1"/>
  <c r="B126" i="11"/>
  <c r="B254" i="11"/>
  <c r="B132" i="11"/>
  <c r="G151" i="11" s="1"/>
  <c r="B196" i="11"/>
  <c r="B197" i="11"/>
  <c r="B195" i="11"/>
  <c r="A40" i="11"/>
  <c r="A31" i="11"/>
  <c r="A29" i="11"/>
  <c r="A28" i="11"/>
  <c r="A27" i="11"/>
  <c r="A30" i="11"/>
  <c r="F17" i="11"/>
  <c r="F15" i="12" l="1"/>
  <c r="G15" i="12" s="1"/>
  <c r="J15" i="12" s="1"/>
  <c r="D16" i="12"/>
  <c r="E16" i="12" s="1"/>
  <c r="D14" i="1"/>
  <c r="F14" i="12" l="1"/>
  <c r="G14" i="12" s="1"/>
  <c r="J14" i="12" s="1"/>
  <c r="F16" i="12"/>
  <c r="G16" i="12" s="1"/>
  <c r="J16" i="12" s="1"/>
  <c r="D18" i="12"/>
  <c r="E18" i="12" s="1"/>
  <c r="D17" i="12"/>
  <c r="E17" i="12" s="1"/>
  <c r="A6" i="1"/>
  <c r="F17" i="12" l="1"/>
  <c r="G17" i="12" s="1"/>
  <c r="J17" i="12" s="1"/>
  <c r="C45" i="1"/>
  <c r="F18" i="12" l="1"/>
  <c r="G18" i="12" s="1"/>
  <c r="B49" i="1"/>
  <c r="D61" i="1"/>
  <c r="C61" i="1"/>
  <c r="J18" i="12" l="1"/>
  <c r="F21" i="12" s="1"/>
  <c r="B50" i="1"/>
  <c r="A32" i="3"/>
  <c r="C62" i="1"/>
  <c r="B21" i="3"/>
  <c r="D12" i="1"/>
  <c r="B51" i="1" l="1"/>
  <c r="A33" i="3"/>
  <c r="F16" i="3"/>
  <c r="B52" i="1" l="1"/>
  <c r="A34" i="3"/>
  <c r="B53" i="1" l="1"/>
  <c r="A35" i="3"/>
  <c r="B117" i="3"/>
  <c r="E211" i="3"/>
  <c r="D211" i="3"/>
  <c r="E210" i="3"/>
  <c r="D210" i="3"/>
  <c r="E209" i="3"/>
  <c r="D209" i="3"/>
  <c r="E208" i="3"/>
  <c r="D208" i="3"/>
  <c r="E207" i="3"/>
  <c r="D207" i="3"/>
  <c r="E206" i="3"/>
  <c r="D206" i="3"/>
  <c r="E205" i="3"/>
  <c r="D205" i="3"/>
  <c r="E204" i="3"/>
  <c r="D204" i="3"/>
  <c r="E203" i="3"/>
  <c r="D203" i="3"/>
  <c r="E202" i="3"/>
  <c r="D202" i="3"/>
  <c r="E201" i="3"/>
  <c r="D201" i="3"/>
  <c r="E200" i="3"/>
  <c r="D200" i="3"/>
  <c r="E199" i="3"/>
  <c r="D199" i="3"/>
  <c r="E198" i="3"/>
  <c r="D198" i="3"/>
  <c r="C183" i="3"/>
  <c r="G174" i="3" s="1"/>
  <c r="B183" i="3"/>
  <c r="F174" i="3" s="1"/>
  <c r="C182" i="3"/>
  <c r="G173" i="3" s="1"/>
  <c r="B182" i="3"/>
  <c r="F173" i="3" s="1"/>
  <c r="C181" i="3"/>
  <c r="G172" i="3" s="1"/>
  <c r="B181" i="3"/>
  <c r="F172" i="3" s="1"/>
  <c r="C180" i="3"/>
  <c r="B180" i="3"/>
  <c r="C179" i="3"/>
  <c r="B179" i="3"/>
  <c r="C178" i="3"/>
  <c r="B178" i="3"/>
  <c r="C177" i="3"/>
  <c r="B177" i="3"/>
  <c r="C176" i="3"/>
  <c r="B176" i="3"/>
  <c r="C175" i="3"/>
  <c r="B175" i="3"/>
  <c r="C174" i="3"/>
  <c r="B174" i="3"/>
  <c r="C173" i="3"/>
  <c r="B173" i="3"/>
  <c r="C172" i="3"/>
  <c r="B172" i="3"/>
  <c r="A172" i="3"/>
  <c r="A173" i="3" s="1"/>
  <c r="A174" i="3" s="1"/>
  <c r="A175" i="3" s="1"/>
  <c r="A176" i="3" s="1"/>
  <c r="A177" i="3" s="1"/>
  <c r="A178" i="3" s="1"/>
  <c r="A179" i="3" s="1"/>
  <c r="A180" i="3" s="1"/>
  <c r="A181" i="3" s="1"/>
  <c r="B168" i="3"/>
  <c r="B167" i="3"/>
  <c r="B166" i="3"/>
  <c r="B165" i="3"/>
  <c r="B164" i="3"/>
  <c r="B163" i="3"/>
  <c r="B148" i="3"/>
  <c r="B140" i="3"/>
  <c r="C139" i="3"/>
  <c r="B125" i="3"/>
  <c r="B119" i="3"/>
  <c r="B118" i="3"/>
  <c r="I70" i="3"/>
  <c r="C44" i="3"/>
  <c r="B44" i="3"/>
  <c r="G34" i="3"/>
  <c r="F34" i="3"/>
  <c r="G33" i="3"/>
  <c r="F33" i="3"/>
  <c r="G32" i="3"/>
  <c r="F32" i="3"/>
  <c r="B23" i="3"/>
  <c r="E163" i="3"/>
  <c r="F6" i="3"/>
  <c r="E1" i="1"/>
  <c r="D10" i="1"/>
  <c r="F131" i="3" l="1"/>
  <c r="D7" i="16"/>
  <c r="D4" i="16"/>
  <c r="F200" i="3"/>
  <c r="F202" i="3"/>
  <c r="F204" i="3"/>
  <c r="F208" i="3"/>
  <c r="F210" i="3"/>
  <c r="G35" i="3"/>
  <c r="B54" i="1"/>
  <c r="A36" i="3"/>
  <c r="F35" i="3"/>
  <c r="F205" i="3"/>
  <c r="F211" i="3"/>
  <c r="F207" i="3"/>
  <c r="G175" i="3"/>
  <c r="F199" i="3"/>
  <c r="F203" i="3"/>
  <c r="B184" i="3"/>
  <c r="F198" i="3"/>
  <c r="F201" i="3"/>
  <c r="F206" i="3"/>
  <c r="B45" i="3"/>
  <c r="D212" i="3"/>
  <c r="F209" i="3"/>
  <c r="B169" i="3"/>
  <c r="C184" i="3"/>
  <c r="B162" i="3"/>
  <c r="F175" i="3"/>
  <c r="E172" i="3"/>
  <c r="A182" i="3"/>
  <c r="D60" i="3" l="1" a="1"/>
  <c r="D60" i="3" s="1"/>
  <c r="D61" i="3" a="1"/>
  <c r="D61" i="3" s="1"/>
  <c r="B139" i="3"/>
  <c r="B147" i="3"/>
  <c r="F36" i="3"/>
  <c r="B55" i="1"/>
  <c r="A37" i="3"/>
  <c r="F176" i="3"/>
  <c r="E45" i="3"/>
  <c r="F212" i="3"/>
  <c r="E216" i="3" s="1"/>
  <c r="E42" i="3" s="1"/>
  <c r="I59" i="3" s="1"/>
  <c r="B185" i="3"/>
  <c r="A183" i="3"/>
  <c r="E174" i="3" s="1"/>
  <c r="E173" i="3"/>
  <c r="D6" i="16" l="1" a="1"/>
  <c r="D6" i="16" s="1"/>
  <c r="D3" i="16" a="1"/>
  <c r="D3" i="16" s="1"/>
  <c r="D5" i="16" a="1"/>
  <c r="D5" i="16" s="1"/>
  <c r="D2" i="16" a="1"/>
  <c r="D2" i="16" s="1"/>
  <c r="D188" i="3"/>
  <c r="D194" i="3" s="1"/>
  <c r="B56" i="1"/>
  <c r="A38" i="3"/>
  <c r="I60" i="3"/>
  <c r="I64" i="3" s="1"/>
  <c r="D58" i="3" l="1" a="1"/>
  <c r="D58" i="3" s="1"/>
  <c r="D59" i="3" a="1"/>
  <c r="D59" i="3" s="1"/>
  <c r="B57" i="1"/>
  <c r="A39" i="3"/>
  <c r="J17" i="1"/>
  <c r="I17" i="1"/>
  <c r="H17" i="1"/>
  <c r="J16" i="1"/>
  <c r="I16" i="1"/>
  <c r="H16" i="1"/>
  <c r="J15" i="1"/>
  <c r="I15" i="1"/>
  <c r="H15" i="1"/>
  <c r="H14" i="1"/>
  <c r="D64" i="3" l="1"/>
  <c r="A67" i="3" s="1"/>
  <c r="F133" i="3" s="1"/>
  <c r="B58" i="1"/>
  <c r="A40" i="3"/>
  <c r="E71" i="3"/>
  <c r="B123" i="3" s="1"/>
  <c r="B141" i="3" l="1"/>
  <c r="D141" i="3" s="1"/>
  <c r="E141" i="3" s="1"/>
  <c r="B149" i="3"/>
  <c r="B59" i="1"/>
  <c r="A41" i="3"/>
  <c r="E32" i="3" s="1"/>
  <c r="D149" i="3"/>
  <c r="D139" i="3"/>
  <c r="D147" i="3"/>
  <c r="E149" i="3" l="1"/>
  <c r="B60" i="1"/>
  <c r="A43" i="3" s="1"/>
  <c r="E34" i="3" s="1"/>
  <c r="A42" i="3"/>
  <c r="E33" i="3" s="1"/>
  <c r="E147" i="3"/>
  <c r="E148" i="3"/>
  <c r="E140" i="3"/>
  <c r="E139" i="3"/>
  <c r="F139" i="3" l="1"/>
  <c r="G139" i="3" s="1"/>
  <c r="F147" i="3"/>
  <c r="I139" i="3" l="1"/>
  <c r="I147" i="3"/>
  <c r="K147" i="3" s="1"/>
  <c r="G147" i="3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<sst xmlns="http://schemas.openxmlformats.org/spreadsheetml/2006/main" count="374" uniqueCount="286">
  <si>
    <t>Nom</t>
  </si>
  <si>
    <t>Prénom</t>
  </si>
  <si>
    <t>Matricule</t>
  </si>
  <si>
    <t>Date d'entrée</t>
  </si>
  <si>
    <t>ouvré</t>
  </si>
  <si>
    <t>Date d'ancienneté</t>
  </si>
  <si>
    <t>ouvrable</t>
  </si>
  <si>
    <t>Date de sortie</t>
  </si>
  <si>
    <t>calendaire</t>
  </si>
  <si>
    <t>Salaire mensuel</t>
  </si>
  <si>
    <t>Date de naissance</t>
  </si>
  <si>
    <t>Age</t>
  </si>
  <si>
    <t xml:space="preserve">ANCIENNETE : </t>
  </si>
  <si>
    <r>
      <t xml:space="preserve">Nbre mois préavis </t>
    </r>
    <r>
      <rPr>
        <sz val="11"/>
        <color indexed="10"/>
        <rFont val="Calibri"/>
        <family val="2"/>
      </rPr>
      <t>(A remplir si Warzmann)</t>
    </r>
  </si>
  <si>
    <t>Loi warzmann (Inaptitude non
Professionnelle)</t>
  </si>
  <si>
    <t>Nouvelle date de sortie</t>
  </si>
  <si>
    <t>Date réalisation</t>
  </si>
  <si>
    <r>
      <t xml:space="preserve">Licenciement Origine Professionnelle
</t>
    </r>
    <r>
      <rPr>
        <b/>
        <sz val="11"/>
        <color theme="4" tint="-0.249977111117893"/>
        <rFont val="Calibri"/>
        <family val="2"/>
        <scheme val="minor"/>
      </rPr>
      <t>AT ou Maladie Professionnelle</t>
    </r>
  </si>
  <si>
    <t>Statut</t>
  </si>
  <si>
    <t>Convention Collective</t>
  </si>
  <si>
    <t>ICL Ouvriers Travaux Public</t>
  </si>
  <si>
    <t>ICL ETAM Travaux Public</t>
  </si>
  <si>
    <t>ICL IAC Travaux Public</t>
  </si>
  <si>
    <t>Ind Retraite ETAM Travaux Public</t>
  </si>
  <si>
    <t>Ind Retraite IAC Travaux Public</t>
  </si>
  <si>
    <t>ICL Ouvriers Bâtiment</t>
  </si>
  <si>
    <t>ICL ETAM Bâtiment</t>
  </si>
  <si>
    <t>ICL IAC Bâtiment</t>
  </si>
  <si>
    <t>Ind Retraite ETAM Bâtiment</t>
  </si>
  <si>
    <t>Ind Retraite IAC Bâtiment</t>
  </si>
  <si>
    <t>ICL Cadres Métallurgie</t>
  </si>
  <si>
    <t>ICL Etam Ouvriers Métallurgie</t>
  </si>
  <si>
    <t>Ind Retraite Métallurgie</t>
  </si>
  <si>
    <t>Ind Retraite SYNTEC</t>
  </si>
  <si>
    <r>
      <rPr>
        <b/>
        <u/>
        <sz val="10"/>
        <color indexed="10"/>
        <rFont val="HELVE"/>
      </rPr>
      <t>RAPPEL CONDITIONS ANCIENNETE</t>
    </r>
    <r>
      <rPr>
        <b/>
        <sz val="10"/>
        <color indexed="10"/>
        <rFont val="HELVE"/>
      </rPr>
      <t xml:space="preserve"> :</t>
    </r>
  </si>
  <si>
    <t>INDEMNITE LEGALE à partir du 24/09/2017</t>
  </si>
  <si>
    <t>si ancienneté &gt;= à 8 mois (0,67)</t>
  </si>
  <si>
    <t>INDEMNITE CONVENTIONNELLE</t>
  </si>
  <si>
    <t>si ancienneté &gt;= à 2 ans</t>
  </si>
  <si>
    <t>MATRICULE</t>
  </si>
  <si>
    <t>NOM :</t>
  </si>
  <si>
    <t>PRENOM :</t>
  </si>
  <si>
    <t>DATE ENTREE :</t>
  </si>
  <si>
    <t>DATE ANC :</t>
  </si>
  <si>
    <t>DATE SORTIE :</t>
  </si>
  <si>
    <t>Date Nais.</t>
  </si>
  <si>
    <t>PERIODE AVEC TEMPS PARTIEL ?</t>
  </si>
  <si>
    <r>
      <t xml:space="preserve">      </t>
    </r>
    <r>
      <rPr>
        <b/>
        <sz val="11"/>
        <color indexed="8"/>
        <rFont val="Calibri"/>
        <family val="2"/>
      </rPr>
      <t xml:space="preserve">           Cliquez ici pour afficher et remplir l'annexe si période à temps partiel durant la carrière</t>
    </r>
  </si>
  <si>
    <t xml:space="preserve"> </t>
  </si>
  <si>
    <t>CALCUL DU SALAIRE DE REFERENCE :</t>
  </si>
  <si>
    <t xml:space="preserve">CALCUL SUR LES 12 DERNIERS MOIS DE SALAIRE </t>
  </si>
  <si>
    <t>E.V.
Pris en compte</t>
  </si>
  <si>
    <t>CALCUL SUR LES 3 DERNIERS MOIS</t>
  </si>
  <si>
    <t>TOTAL</t>
  </si>
  <si>
    <t>SAL/REF</t>
  </si>
  <si>
    <t>Salarié à temps partiel : SALAIRE MOYEN</t>
  </si>
  <si>
    <t>(annexe ci-dessous)</t>
  </si>
  <si>
    <t>Total</t>
  </si>
  <si>
    <t>Salaire de référence retenu :</t>
  </si>
  <si>
    <t>CALCUL DE L'INDEMNITE DE LICENCIEMENT :</t>
  </si>
  <si>
    <t>INDEMNITE CONVENTIONNELLE DE LICENCIEMENT</t>
  </si>
  <si>
    <r>
      <t xml:space="preserve">INDEMNITE LEGALE DE LICENCIEMENT </t>
    </r>
    <r>
      <rPr>
        <b/>
        <sz val="8"/>
        <color indexed="10"/>
        <rFont val="Arial"/>
        <family val="2"/>
      </rPr>
      <t>applicable dès le 27/09/2017</t>
    </r>
  </si>
  <si>
    <t>Ancienneté de 2 à 10 ans : 3/10 ème de mois X 2&lt;ANC&lt;10</t>
  </si>
  <si>
    <t>Ancienneté inférieur à 10 ans : 1/4 ème de mois X ANC &lt; 10 ans</t>
  </si>
  <si>
    <t>Ancienneté &gt; 10 ans : 6/10 ème de mois X ANC &gt; 10</t>
  </si>
  <si>
    <t>Ancienneté supérieure à 10 ans : 1/3 de mois X ANC &gt; 10</t>
  </si>
  <si>
    <t>3/10 ème de mois X 2&lt;ANC&lt;10</t>
  </si>
  <si>
    <t>6/10 ème de mois X ANC &gt; 10</t>
  </si>
  <si>
    <t>1/4 de mois X ANC &lt; 10 ans</t>
  </si>
  <si>
    <t>1/3 de mois X ANC &gt; 10 ans</t>
  </si>
  <si>
    <t>Majoration 10% si salariés +55ans -65 ans</t>
  </si>
  <si>
    <t>INDEMNITE LEGALE LICENCIEMENT</t>
  </si>
  <si>
    <t>INDEMNITE LA PLUS FAVORABLE</t>
  </si>
  <si>
    <t>Montant Indemnité
Conventionnelle versée</t>
  </si>
  <si>
    <t>Montant soumis à CSG CRDS</t>
  </si>
  <si>
    <t xml:space="preserve">Si indemnité supérieure à </t>
  </si>
  <si>
    <t>PMSS  :</t>
  </si>
  <si>
    <t>ou supérieure au minimum légal ou conventionnel</t>
  </si>
  <si>
    <t xml:space="preserve">                                                           Cliquez ici pour afficher et remplir la fiche Traitement Social et Fiscal</t>
  </si>
  <si>
    <t xml:space="preserve">TRAITEMENT FISCAL ET SOCIAL DES INDEMNITES DE RUPTURE </t>
  </si>
  <si>
    <t xml:space="preserve">Matricule : </t>
  </si>
  <si>
    <t xml:space="preserve">Nom du salarié : </t>
  </si>
  <si>
    <t>Prénom du salarié :</t>
  </si>
  <si>
    <t xml:space="preserve">PMSS ANNEE 2020: </t>
  </si>
  <si>
    <t>DATE DE NOTIFICATION DE DEPART</t>
  </si>
  <si>
    <t>MOTIF du DEPART  :</t>
  </si>
  <si>
    <t>AUTRES</t>
  </si>
  <si>
    <r>
      <t>INDEMNITE TOTALE DE RUPTURE</t>
    </r>
    <r>
      <rPr>
        <b/>
        <sz val="11"/>
        <rFont val="Arial"/>
        <family val="2"/>
      </rPr>
      <t xml:space="preserve"> (dont légale ou conventionnelle, transactionnelle etc….)  :</t>
    </r>
  </si>
  <si>
    <r>
      <t xml:space="preserve">SALAIRES CUMULES  BRUTS AU 31-12 de l'année N-1 </t>
    </r>
    <r>
      <rPr>
        <b/>
        <i/>
        <sz val="10"/>
        <color indexed="10"/>
        <rFont val="Arial"/>
        <family val="2"/>
      </rPr>
      <t>(1) :</t>
    </r>
  </si>
  <si>
    <r>
      <rPr>
        <b/>
        <i/>
        <sz val="10"/>
        <color indexed="10"/>
        <rFont val="Arial"/>
        <family val="2"/>
      </rPr>
      <t>(1)</t>
    </r>
    <r>
      <rPr>
        <b/>
        <sz val="10"/>
        <color indexed="10"/>
        <rFont val="Arial"/>
        <family val="2"/>
      </rPr>
      <t xml:space="preserve">    Année N-1 = </t>
    </r>
  </si>
  <si>
    <t xml:space="preserve">Si licenciement : année précédent la date de notification de la rupture </t>
  </si>
  <si>
    <t>Si rupture conventionnelle : date de sortie des effectifs</t>
  </si>
  <si>
    <t>INDEMNITE LEGALE OU CONVENTIONNELLE DE LICENCIEMENT OU MISE A LA RETRAITE :</t>
  </si>
  <si>
    <t>REGIME FISCAL</t>
  </si>
  <si>
    <t>Exonération à hauteur du montant le plus élevé entre ces 3 montants :</t>
  </si>
  <si>
    <t>Limite maximum</t>
  </si>
  <si>
    <t>Limite retenue</t>
  </si>
  <si>
    <t>Traitement fiscal</t>
  </si>
  <si>
    <t>Montant</t>
  </si>
  <si>
    <t>DOUBLE REMUNERATION ANNUELLE BRUTE N-1</t>
  </si>
  <si>
    <t>50% DE LA SOMME GLOBALE montant indemnité de rupture totale</t>
  </si>
  <si>
    <t>INDEMNITE LEGALE OU CONVENTIONNELLE</t>
  </si>
  <si>
    <t xml:space="preserve">Illimité = </t>
  </si>
  <si>
    <t>Montant à saisir</t>
  </si>
  <si>
    <t>REGIME SOCIAL</t>
  </si>
  <si>
    <t>Traitement social</t>
  </si>
  <si>
    <t>DOUBLE DE LA REMUNERATION ANNUELLE BRUTE</t>
  </si>
  <si>
    <t xml:space="preserve">2 PASS = </t>
  </si>
  <si>
    <t>SOUMIS A CSG/CRDS BASE 100% non déductible</t>
  </si>
  <si>
    <t>ANNEXE
  CALCUL SALAIRE MOYEN 
PERIODE PRESENCE A TEMPS PARTIEL</t>
  </si>
  <si>
    <t>CALCUL SUR LES 3 DERNIERS MOIS EVENTUELLEMENT RECONSTITUES</t>
  </si>
  <si>
    <t>Salaire de référence le plus favorable :</t>
  </si>
  <si>
    <t>% d'activité ayant servi au calcul  du salaire de référence</t>
  </si>
  <si>
    <t>Salaire de référence équivalent temps plein</t>
  </si>
  <si>
    <t>DATE DEBUT</t>
  </si>
  <si>
    <t>DATE FIN</t>
  </si>
  <si>
    <t>% ACT</t>
  </si>
  <si>
    <t>DUREE</t>
  </si>
  <si>
    <t>SAL REF RETENU (Equivalent Temps plein)</t>
  </si>
  <si>
    <t xml:space="preserve">SALAIRE MOYEN </t>
  </si>
  <si>
    <t>SE REPORTE AUTOMATIQUEMENT</t>
  </si>
  <si>
    <t>DANS LA CELLULE "Salarié à temps partiel : SALAIRE MOYEN"</t>
  </si>
  <si>
    <t>Société</t>
  </si>
  <si>
    <t>Motif de Sortie</t>
  </si>
  <si>
    <t>Impression et enregistrement du dossier complet</t>
  </si>
  <si>
    <t>ICL soumis</t>
  </si>
  <si>
    <t>rub : 1425</t>
  </si>
  <si>
    <t>ICL non soumis</t>
  </si>
  <si>
    <t>STRUCTURE DSN</t>
  </si>
  <si>
    <t>Variables à saisir</t>
  </si>
  <si>
    <t>Contrôle DSN Fin de Contrat</t>
  </si>
  <si>
    <t>RECAP DES ELEMNTS A SAISIR EN PAIE</t>
  </si>
  <si>
    <t>Date de notification</t>
  </si>
  <si>
    <t xml:space="preserve">Préavis </t>
  </si>
  <si>
    <t xml:space="preserve">Effectué </t>
  </si>
  <si>
    <t>Non effectué payé</t>
  </si>
  <si>
    <t>Non effectué Non payé</t>
  </si>
  <si>
    <t xml:space="preserve">Solde </t>
  </si>
  <si>
    <t>RTT</t>
  </si>
  <si>
    <t>Prime de Précarité</t>
  </si>
  <si>
    <t>CET</t>
  </si>
  <si>
    <t>Du</t>
  </si>
  <si>
    <t>Au</t>
  </si>
  <si>
    <t>Fractionnement</t>
  </si>
  <si>
    <t>Congés Ancienneté</t>
  </si>
  <si>
    <t>Congés Normaux</t>
  </si>
  <si>
    <t>Nombre Jours restants</t>
  </si>
  <si>
    <t xml:space="preserve">                  Mode Opératoire</t>
  </si>
  <si>
    <t>Feuille de Calcul Indemnité</t>
  </si>
  <si>
    <t>Prime Vacances</t>
  </si>
  <si>
    <t>10% du 10e de la base CP</t>
  </si>
  <si>
    <t>13e Mois</t>
  </si>
  <si>
    <r>
      <t xml:space="preserve">Nbre mois préavis
</t>
    </r>
    <r>
      <rPr>
        <sz val="11"/>
        <color indexed="10"/>
        <rFont val="Calibri"/>
        <family val="2"/>
      </rPr>
      <t>(A remplir si Warzmann)</t>
    </r>
  </si>
  <si>
    <t>Contrat 1</t>
  </si>
  <si>
    <t>Bruts perçus</t>
  </si>
  <si>
    <t>Interlocuteur :</t>
  </si>
  <si>
    <t>Civilité</t>
  </si>
  <si>
    <t>Nantes, le</t>
  </si>
  <si>
    <t xml:space="preserve">Veuillez trouver ci-joint les documents de votre solde de tout compte : </t>
  </si>
  <si>
    <t>Condition si Société pas de caisse, Masque ligne 26</t>
  </si>
  <si>
    <t xml:space="preserve">Nous vous invitons à nous communiquer votre éventuel changement d’adresse pour l’envoi des
correspondances vous concernant (retraite, participation aux bénéfices, intéressement…) </t>
  </si>
  <si>
    <t>Vous en souhaitant bonne réception,</t>
  </si>
  <si>
    <t>Responsable Groupe Paie</t>
  </si>
  <si>
    <t xml:space="preserve">Service de personnel </t>
  </si>
  <si>
    <t>Nom du Chef de Groupe</t>
  </si>
  <si>
    <t>Reçu pour solde de tout compte</t>
  </si>
  <si>
    <t>Je soussigné(e),</t>
  </si>
  <si>
    <t xml:space="preserve">Demeurant au </t>
  </si>
  <si>
    <t>A l’occasion de la rupture de mon contrat de travail, je reconnais avoir reçu de mon employeur</t>
  </si>
  <si>
    <t xml:space="preserve">la Société </t>
  </si>
  <si>
    <t xml:space="preserve">la somme de </t>
  </si>
  <si>
    <t xml:space="preserve"> nette,</t>
  </si>
  <si>
    <t xml:space="preserve">En paiement des salaires, accessoires de salaires, remboursement de frais, et de toutes indemnités quelle </t>
  </si>
  <si>
    <t xml:space="preserve">qu’en soit la nature, nés à ce jour, dus au titre de l’exécution, de la cessation et des conditions de la </t>
  </si>
  <si>
    <t xml:space="preserve">cessation de mon contrat de travail, sauf intéressement légal aux résultats et participation légales éventuels </t>
  </si>
  <si>
    <t>calculés sur l’exercice en cours.</t>
  </si>
  <si>
    <t xml:space="preserve">Je reconnais que comme conséquence de ce versement, tout compte entre la société </t>
  </si>
  <si>
    <t>et moi-même se trouve entièrement et définitivement apuré et réglé.</t>
  </si>
  <si>
    <t xml:space="preserve">Je suis informé, qu’en l’application de l’article L.1234-20 du Code du Travail, je peux dénoncer </t>
  </si>
  <si>
    <t xml:space="preserve">le présent reçu pour solde de tout compte, par écrit motivé, dans un délai de six mois à compter </t>
  </si>
  <si>
    <t xml:space="preserve">de la date de signature de ce document. Passé ce délai, je ne pourrai plus le contester.  </t>
  </si>
  <si>
    <t>Ce reçu a été établi en double exemplaire, dont l’un m’a été remis.</t>
  </si>
  <si>
    <t xml:space="preserve">Fait à </t>
  </si>
  <si>
    <t>(Signature du salarié précédée de la mention « reçu pour solde de tout compte »)</t>
  </si>
  <si>
    <t>Fait à …..............., le…........................</t>
  </si>
  <si>
    <t xml:space="preserve">Les sommes Brutes suivantes faisant l’objet du présent reçu : </t>
  </si>
  <si>
    <t>en paiement de votre salaire du mois de septembre</t>
  </si>
  <si>
    <t xml:space="preserve">Les sommes Nettes suivantes faisant l’objet du présent reçu : </t>
  </si>
  <si>
    <t>en déduction de la part salariale des titres restaurants</t>
  </si>
  <si>
    <t>Certificat de Travail</t>
  </si>
  <si>
    <t>N° Sécurité Sociale</t>
  </si>
  <si>
    <t xml:space="preserve">dont le siège social est situé </t>
  </si>
  <si>
    <t xml:space="preserve">et immatriculée au Registre du Commerce et des Sociétés sous le numéro </t>
  </si>
  <si>
    <t>certifions que cette société a employé :</t>
  </si>
  <si>
    <t>N° sécurité sociale :</t>
  </si>
  <si>
    <t xml:space="preserve">Domicilié : </t>
  </si>
  <si>
    <t xml:space="preserve">Sur la période : </t>
  </si>
  <si>
    <t>Nous soussignés, ENGIE GBS Services, dûment mandatés par la société</t>
  </si>
  <si>
    <t xml:space="preserve">En qualité de :  </t>
  </si>
  <si>
    <t>quitte la société</t>
  </si>
  <si>
    <t>ce jour.</t>
  </si>
  <si>
    <t>Attestation Indemnité de départ en retraite</t>
  </si>
  <si>
    <t>certifions que :</t>
  </si>
  <si>
    <t>Domicilé :</t>
  </si>
  <si>
    <t>En foi de quoi la présente attestation est délivrée pour faire valoir ce que de droit.</t>
  </si>
  <si>
    <t>Gestionnaire Paie et ADP</t>
  </si>
  <si>
    <t>ENGIE GBS SERVICES</t>
  </si>
  <si>
    <t/>
  </si>
  <si>
    <t>Renouvellement 1</t>
  </si>
  <si>
    <t>Renouvellement 2</t>
  </si>
  <si>
    <t>montant figurant sur
DSN Fin de contrat généré</t>
  </si>
  <si>
    <t>Contrôle</t>
  </si>
  <si>
    <t>NOM</t>
  </si>
  <si>
    <t>PRENOM</t>
  </si>
  <si>
    <t>Nb semaines</t>
  </si>
  <si>
    <t>∑ Semaines</t>
  </si>
  <si>
    <t>Acq sans plafond</t>
  </si>
  <si>
    <t>Acquis max</t>
  </si>
  <si>
    <t>Acquis réel</t>
  </si>
  <si>
    <t>A</t>
  </si>
  <si>
    <t>B</t>
  </si>
  <si>
    <t>C</t>
  </si>
  <si>
    <t>D</t>
  </si>
  <si>
    <t>E</t>
  </si>
  <si>
    <t>F</t>
  </si>
  <si>
    <t>G</t>
  </si>
  <si>
    <t>H</t>
  </si>
  <si>
    <t>Calcul</t>
  </si>
  <si>
    <t>-</t>
  </si>
  <si>
    <t>A-B</t>
  </si>
  <si>
    <t>∑D</t>
  </si>
  <si>
    <t>min(F ;G)</t>
  </si>
  <si>
    <t>Valeur finale arrondie :</t>
  </si>
  <si>
    <t>OUVRES</t>
  </si>
  <si>
    <t xml:space="preserve">  - Saisir le nombre de jours d'absence en ouvrés dans la colonne C - Ne rien saisir dans les autres colonnes</t>
  </si>
  <si>
    <t xml:space="preserve">  - En cas d'entrée / sortie dans l'année, neutraliser les mois complets de non présence dans l'entreprise en saisissant dans la colonne "jour d'absence" un  X</t>
  </si>
  <si>
    <t>Ex :</t>
  </si>
  <si>
    <r>
      <t xml:space="preserve">Saisie d'un </t>
    </r>
    <r>
      <rPr>
        <b/>
        <sz val="11"/>
        <color theme="1"/>
        <rFont val="Calibri"/>
        <family val="2"/>
        <scheme val="minor"/>
      </rPr>
      <t>X</t>
    </r>
    <r>
      <rPr>
        <sz val="10"/>
        <rFont val="Arial"/>
        <family val="2"/>
      </rPr>
      <t xml:space="preserve"> dans "jour d'absence" sur les mois de juin, juillet, août, septembre et octobre</t>
    </r>
  </si>
  <si>
    <r>
      <t xml:space="preserve">Saisie d'un </t>
    </r>
    <r>
      <rPr>
        <b/>
        <sz val="11"/>
        <color theme="1"/>
        <rFont val="Calibri"/>
        <family val="2"/>
        <scheme val="minor"/>
      </rPr>
      <t>X</t>
    </r>
    <r>
      <rPr>
        <sz val="10"/>
        <rFont val="Arial"/>
        <family val="2"/>
      </rPr>
      <t xml:space="preserve"> dans "jour d'absence" sur les mois de juin</t>
    </r>
  </si>
  <si>
    <r>
      <t xml:space="preserve">Saisie de </t>
    </r>
    <r>
      <rPr>
        <b/>
        <sz val="11"/>
        <color theme="1"/>
        <rFont val="Calibri"/>
        <family val="2"/>
        <scheme val="minor"/>
      </rPr>
      <t>10</t>
    </r>
    <r>
      <rPr>
        <sz val="10"/>
        <rFont val="Arial"/>
        <family val="2"/>
      </rPr>
      <t xml:space="preserve"> dans "jour d'absence" sur le mois de juillet</t>
    </r>
  </si>
  <si>
    <r>
      <t xml:space="preserve">Saisie d'un </t>
    </r>
    <r>
      <rPr>
        <b/>
        <sz val="11"/>
        <color theme="1"/>
        <rFont val="Calibri"/>
        <family val="2"/>
        <scheme val="minor"/>
      </rPr>
      <t>X</t>
    </r>
    <r>
      <rPr>
        <sz val="10"/>
        <rFont val="Arial"/>
        <family val="2"/>
      </rPr>
      <t xml:space="preserve"> dans "jour d'absence" sur les mois de mars - avril et mai</t>
    </r>
  </si>
  <si>
    <r>
      <t xml:space="preserve">Saisie de </t>
    </r>
    <r>
      <rPr>
        <b/>
        <sz val="11"/>
        <color theme="1"/>
        <rFont val="Calibri"/>
        <family val="2"/>
        <scheme val="minor"/>
      </rPr>
      <t>10</t>
    </r>
    <r>
      <rPr>
        <sz val="10"/>
        <rFont val="Arial"/>
        <family val="2"/>
      </rPr>
      <t xml:space="preserve"> dans "jour d'absence" sur le mois de mars </t>
    </r>
  </si>
  <si>
    <r>
      <t xml:space="preserve">Saisie d'un </t>
    </r>
    <r>
      <rPr>
        <b/>
        <sz val="11"/>
        <color theme="1"/>
        <rFont val="Calibri"/>
        <family val="2"/>
        <scheme val="minor"/>
      </rPr>
      <t>X</t>
    </r>
    <r>
      <rPr>
        <sz val="10"/>
        <rFont val="Arial"/>
        <family val="2"/>
      </rPr>
      <t xml:space="preserve"> dans "jour d'absence" sur les mois de avril et mai</t>
    </r>
  </si>
  <si>
    <t>Données de calcul</t>
  </si>
  <si>
    <t>Textes à afficher sur feuille "Feuille Calcul Indemnités"
cellule B51, B52, etc..</t>
  </si>
  <si>
    <t>Texte à indiquer sur feuille "Feuille Calcul Indemnités"
cellule B57, B58, etc..</t>
  </si>
  <si>
    <t>Formule qui doit sur la même feuille
mais cellule E57,E58, etc…</t>
  </si>
  <si>
    <t xml:space="preserve">2 à 15 ans : 2,5/10ème par an </t>
  </si>
  <si>
    <t>2,5/10 ème de mois X2&lt;ANC&lt;15</t>
  </si>
  <si>
    <t>Plus 15 ans : 3,5/10ème par an</t>
  </si>
  <si>
    <t>3,5/10 ème de mois X ANC &gt; 15</t>
  </si>
  <si>
    <t>Majoration 10% salariés de + 55 ans - 65 ans</t>
  </si>
  <si>
    <t>inférieure à 2 : indemnité légale</t>
  </si>
  <si>
    <t>2 à 5 ans :1/10è par mois</t>
  </si>
  <si>
    <t>A partir de 5 : 3/20ème de mois dès la 1ère année</t>
  </si>
  <si>
    <t>Si + de  15 ans :+1/20ème</t>
  </si>
  <si>
    <t>Majoration 10% salariés de + 55 ans</t>
  </si>
  <si>
    <t>ICL CADRES SYNTEC</t>
  </si>
  <si>
    <t>ICL ETAM SYNTEC</t>
  </si>
  <si>
    <t>ANNEE</t>
  </si>
  <si>
    <t>S21.G00.50.002</t>
  </si>
  <si>
    <t>S21.G00.50.004</t>
  </si>
  <si>
    <t>S21.G00.51.013</t>
  </si>
  <si>
    <t>S21.G00.52.002</t>
  </si>
  <si>
    <t>Libellé Structure</t>
  </si>
  <si>
    <t>Montant Net Versé</t>
  </si>
  <si>
    <t>Rémunération Nette Fiscale</t>
  </si>
  <si>
    <t>Remunération Brute</t>
  </si>
  <si>
    <t>Prime Gratification Indemnité</t>
  </si>
  <si>
    <t>DATE SORTIE ou DATE NOTIFICATION</t>
  </si>
  <si>
    <t>;</t>
  </si>
  <si>
    <t>montant figurant sur
STC</t>
  </si>
  <si>
    <t>Mode de Calcul</t>
  </si>
  <si>
    <t>Ouvrés</t>
  </si>
  <si>
    <t>Ouvrables</t>
  </si>
  <si>
    <t>Jours présence</t>
  </si>
  <si>
    <t>Calcul et Indemnités Congés Payés</t>
  </si>
  <si>
    <t>Calcul Indemnités de rupture</t>
  </si>
  <si>
    <t>Critères CCN</t>
  </si>
  <si>
    <t>Entrée le 01/11/2019</t>
  </si>
  <si>
    <t>Entrée le 15/07/2019</t>
  </si>
  <si>
    <t>Sortie le 28/02/2020</t>
  </si>
  <si>
    <t>Sortie le 19/03/2020</t>
  </si>
  <si>
    <t>Demandeur de la simulation
(Indiquer le mail concerné)</t>
  </si>
  <si>
    <t>Courriers à remettre aux salariés</t>
  </si>
  <si>
    <t>Nous soussignés, , dûment mandatés par la société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</si>
</sst>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8" formatCode="#,##0.00\ &quot;€&quot;;[Red]\-#,##0.00\ &quot;€&quot;"/>
    <numFmt numFmtId="44" formatCode="_-* #,##0.00\ &quot;€&quot;_-;\-* #,##0.00\ &quot;€&quot;_-;_-* &quot;-&quot;??\ &quot;€&quot;_-;_-@_-"/>
    <numFmt numFmtId="164" formatCode="_-* #,##0.00\ _€_-;\-* #,##0.00\ _€_-;_-* &quot;-&quot;??\ _€_-;_-@_-"/>
    <numFmt numFmtId="165" formatCode="_-* #,##0.00\ _F_-;\-* #,##0.00\ _F_-;_-* &quot;-&quot;??\ _F_-;_-@_-"/>
    <numFmt numFmtId="166" formatCode="_-* #,##0\ _€_-;\-* #,##0\ _€_-;_-* &quot;-&quot;??\ _€_-;_-@_-"/>
    <numFmt numFmtId="167" formatCode="#,##0.00\ &quot;€&quot;"/>
    <numFmt numFmtId="168" formatCode="[$-40C]d\ mmmm\ yyyy;@"/>
    <numFmt numFmtId="169" formatCode="[&gt;=3000000000000]#&quot; &quot;##&quot; &quot;##&quot; &quot;##&quot; &quot;###&quot; &quot;###&quot; | &quot;##;#&quot; &quot;##&quot; &quot;##&quot; &quot;##&quot; &quot;###&quot; &quot;###"/>
    <numFmt numFmtId="170" formatCode="mmmm"/>
  </numFmts>
  <fonts count="90">
    <font>
      <sz val="10"/>
      <name val="Arial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1"/>
      <color indexed="8"/>
      <name val="Calibri"/>
      <family val="2"/>
    </font>
    <font>
      <b/>
      <sz val="12"/>
      <color indexed="8"/>
      <name val="Calibri"/>
      <family val="2"/>
    </font>
    <font>
      <sz val="12"/>
      <color indexed="8"/>
      <name val="Calibri"/>
      <family val="2"/>
    </font>
    <font>
      <sz val="20"/>
      <color theme="1"/>
      <name val="Calibri"/>
      <family val="2"/>
      <scheme val="minor"/>
    </font>
    <font>
      <b/>
      <sz val="10"/>
      <name val="Arial"/>
      <family val="2"/>
    </font>
    <font>
      <b/>
      <sz val="12"/>
      <name val="Arial"/>
      <family val="2"/>
    </font>
    <font>
      <sz val="12"/>
      <name val="Calibri"/>
      <family val="2"/>
    </font>
    <font>
      <b/>
      <sz val="12"/>
      <color theme="4" tint="-0.249977111117893"/>
      <name val="Calibri"/>
      <family val="2"/>
    </font>
    <font>
      <b/>
      <sz val="9"/>
      <name val="Arial"/>
      <family val="2"/>
    </font>
    <font>
      <sz val="11"/>
      <color indexed="10"/>
      <name val="Calibri"/>
      <family val="2"/>
    </font>
    <font>
      <sz val="11"/>
      <color theme="3" tint="0.39997558519241921"/>
      <name val="Calibri"/>
      <family val="2"/>
      <scheme val="minor"/>
    </font>
    <font>
      <sz val="11"/>
      <name val="Arial"/>
      <family val="2"/>
    </font>
    <font>
      <b/>
      <sz val="11"/>
      <name val="Arial"/>
      <family val="2"/>
    </font>
    <font>
      <b/>
      <sz val="11"/>
      <color theme="4" tint="-0.249977111117893"/>
      <name val="Calibri"/>
      <family val="2"/>
      <scheme val="minor"/>
    </font>
    <font>
      <sz val="1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Arial"/>
      <family val="2"/>
    </font>
    <font>
      <b/>
      <sz val="16"/>
      <name val="Arial"/>
      <family val="2"/>
    </font>
    <font>
      <b/>
      <sz val="11"/>
      <color rgb="FF339966"/>
      <name val="Calibri"/>
      <family val="2"/>
    </font>
    <font>
      <b/>
      <sz val="10"/>
      <color indexed="10"/>
      <name val="HELVE"/>
    </font>
    <font>
      <b/>
      <u/>
      <sz val="10"/>
      <color indexed="10"/>
      <name val="HELVE"/>
    </font>
    <font>
      <b/>
      <sz val="10"/>
      <color rgb="FFFF0000"/>
      <name val="Arial"/>
      <family val="2"/>
    </font>
    <font>
      <sz val="10"/>
      <name val="HELVE"/>
    </font>
    <font>
      <b/>
      <sz val="10"/>
      <color theme="6" tint="-0.249977111117893"/>
      <name val="Arial"/>
      <family val="2"/>
    </font>
    <font>
      <sz val="8"/>
      <name val="Arial"/>
      <family val="2"/>
    </font>
    <font>
      <sz val="10"/>
      <color theme="6" tint="-0.249977111117893"/>
      <name val="Arial"/>
      <family val="2"/>
    </font>
    <font>
      <sz val="11"/>
      <color theme="6" tint="-0.249977111117893"/>
      <name val="Calibri"/>
      <family val="2"/>
      <scheme val="minor"/>
    </font>
    <font>
      <b/>
      <sz val="11"/>
      <color indexed="8"/>
      <name val="Calibri"/>
      <family val="2"/>
      <scheme val="minor"/>
    </font>
    <font>
      <b/>
      <sz val="11"/>
      <color indexed="8"/>
      <name val="Calibri"/>
      <family val="2"/>
    </font>
    <font>
      <sz val="10"/>
      <color rgb="FFFF0000"/>
      <name val="Arial"/>
      <family val="2"/>
    </font>
    <font>
      <b/>
      <u/>
      <sz val="10"/>
      <name val="Arial"/>
      <family val="2"/>
    </font>
    <font>
      <b/>
      <sz val="8"/>
      <color theme="1"/>
      <name val="Calibri"/>
      <family val="2"/>
      <scheme val="minor"/>
    </font>
    <font>
      <b/>
      <sz val="8"/>
      <name val="Arial"/>
      <family val="2"/>
    </font>
    <font>
      <b/>
      <sz val="8"/>
      <color indexed="10"/>
      <name val="Arial"/>
      <family val="2"/>
    </font>
    <font>
      <b/>
      <sz val="8"/>
      <color rgb="FF92D050"/>
      <name val="Arial"/>
      <family val="2"/>
    </font>
    <font>
      <sz val="11"/>
      <color theme="0"/>
      <name val="Helvetica"/>
      <family val="2"/>
    </font>
    <font>
      <sz val="11"/>
      <name val="Helvetica"/>
      <family val="2"/>
    </font>
    <font>
      <sz val="10"/>
      <color theme="1"/>
      <name val="Calibri"/>
      <family val="2"/>
      <scheme val="minor"/>
    </font>
    <font>
      <b/>
      <sz val="14"/>
      <color theme="3" tint="0.39997558519241921"/>
      <name val="Calibri"/>
      <family val="2"/>
      <scheme val="minor"/>
    </font>
    <font>
      <b/>
      <sz val="11"/>
      <color rgb="FFFF0000"/>
      <name val="Helvetica"/>
      <family val="2"/>
    </font>
    <font>
      <sz val="11"/>
      <color rgb="FFFF0000"/>
      <name val="Helvetica"/>
      <family val="2"/>
    </font>
    <font>
      <i/>
      <sz val="11"/>
      <color rgb="FFFF0000"/>
      <name val="Helvetica"/>
      <family val="2"/>
    </font>
    <font>
      <b/>
      <sz val="11"/>
      <color rgb="FFFF0000"/>
      <name val="Calibri"/>
      <family val="2"/>
      <scheme val="minor"/>
    </font>
    <font>
      <sz val="11"/>
      <color rgb="FF0070C0"/>
      <name val="Helvetica"/>
      <family val="2"/>
    </font>
    <font>
      <b/>
      <sz val="14"/>
      <name val="Arial"/>
      <family val="2"/>
    </font>
    <font>
      <b/>
      <sz val="10"/>
      <color indexed="10"/>
      <name val="Arial"/>
      <family val="2"/>
    </font>
    <font>
      <b/>
      <i/>
      <sz val="10"/>
      <color indexed="10"/>
      <name val="Arial"/>
      <family val="2"/>
    </font>
    <font>
      <i/>
      <sz val="10"/>
      <name val="Arial"/>
      <family val="2"/>
    </font>
    <font>
      <i/>
      <sz val="10"/>
      <color indexed="12"/>
      <name val="Arial"/>
      <family val="2"/>
    </font>
    <font>
      <b/>
      <sz val="10"/>
      <color indexed="12"/>
      <name val="Arial"/>
      <family val="2"/>
    </font>
    <font>
      <b/>
      <sz val="18"/>
      <name val="Arial"/>
      <family val="2"/>
    </font>
    <font>
      <b/>
      <sz val="10"/>
      <name val="Tahoma"/>
      <family val="2"/>
    </font>
    <font>
      <sz val="10"/>
      <name val="Tahoma"/>
      <family val="2"/>
    </font>
    <font>
      <u/>
      <sz val="10"/>
      <name val="Tahoma"/>
      <family val="2"/>
    </font>
    <font>
      <b/>
      <sz val="12"/>
      <color theme="3" tint="0.39997558519241921"/>
      <name val="Calibri"/>
      <family val="2"/>
      <scheme val="minor"/>
    </font>
    <font>
      <b/>
      <sz val="20"/>
      <color theme="1"/>
      <name val="Calibri"/>
      <family val="2"/>
      <scheme val="minor"/>
    </font>
    <font>
      <b/>
      <i/>
      <sz val="10"/>
      <color rgb="FFFF0000"/>
      <name val="Arial"/>
      <family val="2"/>
    </font>
    <font>
      <b/>
      <i/>
      <sz val="12"/>
      <color rgb="FFFF0000"/>
      <name val="Calibri"/>
      <family val="2"/>
    </font>
    <font>
      <b/>
      <sz val="12"/>
      <name val="Calibri"/>
      <family val="2"/>
    </font>
    <font>
      <b/>
      <sz val="12"/>
      <name val="Calibri"/>
      <family val="2"/>
      <scheme val="minor"/>
    </font>
    <font>
      <b/>
      <sz val="13"/>
      <color indexed="8"/>
      <name val="Calibri"/>
      <family val="2"/>
    </font>
    <font>
      <b/>
      <i/>
      <u/>
      <sz val="10"/>
      <color theme="1"/>
      <name val="Arial"/>
      <family val="2"/>
    </font>
    <font>
      <b/>
      <i/>
      <sz val="12"/>
      <name val="Arial"/>
      <family val="2"/>
    </font>
    <font>
      <sz val="12"/>
      <name val="Calibri"/>
      <family val="2"/>
      <scheme val="minor"/>
    </font>
    <font>
      <b/>
      <i/>
      <sz val="12"/>
      <color rgb="FFFF0000"/>
      <name val="Arial"/>
      <family val="2"/>
    </font>
    <font>
      <sz val="8"/>
      <color theme="4" tint="0.39997558519241921"/>
      <name val="Arial"/>
      <family val="2"/>
    </font>
    <font>
      <sz val="18"/>
      <name val="Arial"/>
      <family val="2"/>
    </font>
    <font>
      <b/>
      <u/>
      <sz val="9"/>
      <color rgb="FF424242"/>
      <name val="Tahoma"/>
      <family val="2"/>
    </font>
    <font>
      <u/>
      <sz val="10"/>
      <color theme="10"/>
      <name val="Arial"/>
      <family val="2"/>
    </font>
    <font>
      <b/>
      <sz val="10"/>
      <color rgb="FF222222"/>
      <name val="Consolas"/>
      <family val="3"/>
    </font>
    <font>
      <sz val="10"/>
      <color rgb="FF141414"/>
      <name val="Arial"/>
      <family val="2"/>
    </font>
    <font>
      <sz val="22"/>
      <color theme="1"/>
      <name val="Arial"/>
      <family val="2"/>
    </font>
    <font>
      <b/>
      <sz val="11"/>
      <color theme="1"/>
      <name val="Arial"/>
      <family val="2"/>
    </font>
    <font>
      <b/>
      <i/>
      <sz val="11"/>
      <color rgb="FF0000FF"/>
      <name val="Arial"/>
      <family val="2"/>
    </font>
    <font>
      <i/>
      <sz val="11"/>
      <color rgb="FF0000FF"/>
      <name val="Arial"/>
      <family val="2"/>
    </font>
    <font>
      <i/>
      <sz val="11"/>
      <color rgb="FF006600"/>
      <name val="Arial"/>
      <family val="2"/>
    </font>
    <font>
      <b/>
      <i/>
      <sz val="11"/>
      <color rgb="FF006600"/>
      <name val="Arial"/>
      <family val="2"/>
    </font>
    <font>
      <i/>
      <sz val="11"/>
      <color theme="1" tint="0.34998626667073579"/>
      <name val="Arial"/>
      <family val="2"/>
    </font>
    <font>
      <sz val="11"/>
      <color rgb="FFFF0000"/>
      <name val="Arial"/>
      <family val="2"/>
    </font>
    <font>
      <sz val="11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1"/>
      <name val="Calibri"/>
      <family val="2"/>
      <scheme val="minor"/>
    </font>
  </fonts>
  <fills count="22">
    <fill>
      <patternFill patternType="none"/>
    </fill>
    <fill>
      <patternFill patternType="gray125"/>
    </fill>
    <fill>
      <patternFill patternType="solid">
        <fgColor theme="9" tint="0.59999389629810485"/>
        <bgColor indexed="3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633777886288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3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B3D0FB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59999389629810485"/>
        <bgColor indexed="22"/>
      </patternFill>
    </fill>
  </fills>
  <borders count="72">
    <border>
      <left/>
      <right/>
      <top/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double">
        <color auto="1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medium">
        <color theme="9" tint="0.59996337778862885"/>
      </left>
      <right style="medium">
        <color theme="9" tint="0.59996337778862885"/>
      </right>
      <top style="medium">
        <color theme="9" tint="0.59996337778862885"/>
      </top>
      <bottom style="medium">
        <color theme="9" tint="0.59996337778862885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theme="4" tint="-0.24994659260841701"/>
      </left>
      <right/>
      <top style="double">
        <color theme="4" tint="-0.24994659260841701"/>
      </top>
      <bottom style="double">
        <color theme="4" tint="-0.24994659260841701"/>
      </bottom>
      <diagonal/>
    </border>
    <border>
      <left/>
      <right/>
      <top style="double">
        <color theme="4" tint="-0.24994659260841701"/>
      </top>
      <bottom style="double">
        <color theme="4" tint="-0.24994659260841701"/>
      </bottom>
      <diagonal/>
    </border>
    <border>
      <left/>
      <right style="double">
        <color theme="4" tint="-0.24994659260841701"/>
      </right>
      <top style="double">
        <color theme="4" tint="-0.24994659260841701"/>
      </top>
      <bottom style="double">
        <color theme="4" tint="-0.2499465926084170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thick">
        <color rgb="FF000000"/>
      </right>
      <top style="medium">
        <color rgb="FF000000"/>
      </top>
      <bottom style="thick">
        <color rgb="FF000000"/>
      </bottom>
      <diagonal/>
    </border>
    <border>
      <left/>
      <right/>
      <top style="medium">
        <color rgb="FF000000"/>
      </top>
      <bottom style="thick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ck">
        <color rgb="FF000000"/>
      </bottom>
      <diagonal/>
    </border>
    <border>
      <left style="medium">
        <color rgb="FF000000"/>
      </left>
      <right style="thick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ck">
        <color rgb="FF000000"/>
      </right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4">
    <xf numFmtId="0" fontId="0" fillId="0" borderId="0"/>
    <xf numFmtId="0" fontId="8" fillId="0" borderId="0"/>
    <xf numFmtId="0" fontId="5" fillId="0" borderId="0"/>
    <xf numFmtId="164" fontId="5" fillId="0" borderId="0" applyFont="0" applyFill="0" applyBorder="0" applyAlignment="0" applyProtection="0"/>
    <xf numFmtId="44" fontId="7" fillId="0" borderId="0" applyFont="0" applyFill="0" applyBorder="0" applyAlignment="0" applyProtection="0"/>
    <xf numFmtId="44" fontId="7" fillId="0" borderId="0" applyFont="0" applyFill="0" applyBorder="0" applyAlignment="0" applyProtection="0"/>
    <xf numFmtId="164" fontId="7" fillId="0" borderId="0" applyFont="0" applyFill="0" applyBorder="0" applyAlignment="0" applyProtection="0"/>
    <xf numFmtId="0" fontId="4" fillId="0" borderId="0"/>
    <xf numFmtId="0" fontId="76" fillId="0" borderId="0" applyNumberFormat="0" applyFill="0" applyBorder="0" applyAlignment="0" applyProtection="0"/>
    <xf numFmtId="0" fontId="2" fillId="0" borderId="0"/>
    <xf numFmtId="0" fontId="76" fillId="0" borderId="0" applyNumberFormat="0" applyFill="0" applyBorder="0" applyAlignment="0" applyProtection="0">
      <alignment vertical="top"/>
      <protection locked="0"/>
    </xf>
    <xf numFmtId="0" fontId="2" fillId="0" borderId="0"/>
    <xf numFmtId="0" fontId="1" fillId="0" borderId="0"/>
    <xf numFmtId="0" fontId="1" fillId="0" borderId="0"/>
  </cellStyleXfs>
  <cellXfs count="568">
    <xf numFmtId="0" fontId="0" fillId="0" borderId="0" xfId="0"/>
    <xf numFmtId="0" fontId="0" fillId="0" borderId="0" xfId="0" applyBorder="1"/>
    <xf numFmtId="0" fontId="6" fillId="0" borderId="0" xfId="2" applyFont="1"/>
    <xf numFmtId="0" fontId="5" fillId="0" borderId="0" xfId="2"/>
    <xf numFmtId="0" fontId="12" fillId="3" borderId="0" xfId="0" applyFont="1" applyFill="1" applyBorder="1" applyAlignment="1" applyProtection="1">
      <alignment horizontal="center"/>
      <protection locked="0"/>
    </xf>
    <xf numFmtId="2" fontId="5" fillId="0" borderId="0" xfId="2" applyNumberFormat="1"/>
    <xf numFmtId="0" fontId="24" fillId="0" borderId="0" xfId="2" applyFont="1" applyAlignment="1">
      <alignment horizontal="center" vertical="center"/>
    </xf>
    <xf numFmtId="2" fontId="19" fillId="0" borderId="0" xfId="2" applyNumberFormat="1" applyFont="1" applyAlignment="1">
      <alignment vertical="center"/>
    </xf>
    <xf numFmtId="0" fontId="19" fillId="0" borderId="0" xfId="2" applyFont="1" applyAlignment="1">
      <alignment vertical="center"/>
    </xf>
    <xf numFmtId="0" fontId="19" fillId="0" borderId="0" xfId="2" applyFont="1" applyAlignment="1">
      <alignment horizontal="center" vertical="center"/>
    </xf>
    <xf numFmtId="14" fontId="20" fillId="6" borderId="9" xfId="2" applyNumberFormat="1" applyFont="1" applyFill="1" applyBorder="1" applyAlignment="1">
      <alignment horizontal="center" vertical="center"/>
    </xf>
    <xf numFmtId="2" fontId="29" fillId="0" borderId="0" xfId="2" applyNumberFormat="1" applyFont="1"/>
    <xf numFmtId="0" fontId="30" fillId="0" borderId="0" xfId="2" applyFont="1"/>
    <xf numFmtId="2" fontId="29" fillId="0" borderId="0" xfId="2" applyNumberFormat="1" applyFont="1" applyAlignment="1">
      <alignment horizontal="center"/>
    </xf>
    <xf numFmtId="2" fontId="30" fillId="0" borderId="0" xfId="2" applyNumberFormat="1" applyFont="1"/>
    <xf numFmtId="2" fontId="12" fillId="0" borderId="0" xfId="2" applyNumberFormat="1" applyFont="1"/>
    <xf numFmtId="0" fontId="12" fillId="0" borderId="0" xfId="2" applyFont="1"/>
    <xf numFmtId="0" fontId="31" fillId="9" borderId="0" xfId="2" applyFont="1" applyFill="1" applyAlignment="1" applyProtection="1">
      <alignment horizontal="center"/>
      <protection locked="0"/>
    </xf>
    <xf numFmtId="0" fontId="16" fillId="0" borderId="0" xfId="2" quotePrefix="1" applyFont="1" applyAlignment="1">
      <alignment horizontal="left"/>
    </xf>
    <xf numFmtId="2" fontId="12" fillId="0" borderId="0" xfId="2" applyNumberFormat="1" applyFont="1" applyAlignment="1">
      <alignment horizontal="center"/>
    </xf>
    <xf numFmtId="0" fontId="12" fillId="5" borderId="0" xfId="2" applyFont="1" applyFill="1" applyAlignment="1" applyProtection="1">
      <alignment horizontal="center"/>
      <protection locked="0"/>
    </xf>
    <xf numFmtId="2" fontId="32" fillId="0" borderId="0" xfId="2" applyNumberFormat="1" applyFont="1" applyAlignment="1">
      <alignment horizontal="left"/>
    </xf>
    <xf numFmtId="14" fontId="33" fillId="9" borderId="0" xfId="2" applyNumberFormat="1" applyFont="1" applyFill="1" applyAlignment="1" applyProtection="1">
      <alignment horizontal="center"/>
      <protection locked="0"/>
    </xf>
    <xf numFmtId="0" fontId="6" fillId="0" borderId="0" xfId="2" applyFont="1" applyAlignment="1">
      <alignment wrapText="1"/>
    </xf>
    <xf numFmtId="2" fontId="32" fillId="0" borderId="0" xfId="2" applyNumberFormat="1" applyFont="1"/>
    <xf numFmtId="19" fontId="5" fillId="0" borderId="0" xfId="2" applyNumberFormat="1"/>
    <xf numFmtId="14" fontId="12" fillId="6" borderId="0" xfId="2" applyNumberFormat="1" applyFont="1" applyFill="1" applyAlignment="1" applyProtection="1">
      <alignment horizontal="center"/>
      <protection locked="0"/>
    </xf>
    <xf numFmtId="2" fontId="32" fillId="0" borderId="0" xfId="2" quotePrefix="1" applyNumberFormat="1" applyFont="1" applyAlignment="1">
      <alignment horizontal="left"/>
    </xf>
    <xf numFmtId="14" fontId="34" fillId="9" borderId="0" xfId="2" applyNumberFormat="1" applyFont="1" applyFill="1" applyAlignment="1" applyProtection="1">
      <alignment horizontal="center"/>
      <protection locked="0"/>
    </xf>
    <xf numFmtId="4" fontId="5" fillId="0" borderId="0" xfId="2" applyNumberFormat="1" applyAlignment="1">
      <alignment horizontal="center"/>
    </xf>
    <xf numFmtId="0" fontId="18" fillId="0" borderId="0" xfId="2" applyFont="1"/>
    <xf numFmtId="0" fontId="12" fillId="10" borderId="0" xfId="2" applyFont="1" applyFill="1"/>
    <xf numFmtId="0" fontId="35" fillId="0" borderId="0" xfId="2" applyFont="1"/>
    <xf numFmtId="2" fontId="5" fillId="0" borderId="0" xfId="2" quotePrefix="1" applyNumberFormat="1" applyAlignment="1">
      <alignment horizontal="left"/>
    </xf>
    <xf numFmtId="4" fontId="12" fillId="0" borderId="0" xfId="2" applyNumberFormat="1" applyFont="1"/>
    <xf numFmtId="2" fontId="12" fillId="0" borderId="0" xfId="2" applyNumberFormat="1" applyFont="1" applyAlignment="1" applyProtection="1">
      <alignment horizontal="center"/>
      <protection locked="0"/>
    </xf>
    <xf numFmtId="0" fontId="29" fillId="0" borderId="0" xfId="2" applyFont="1"/>
    <xf numFmtId="0" fontId="37" fillId="0" borderId="0" xfId="2" applyFont="1"/>
    <xf numFmtId="2" fontId="37" fillId="0" borderId="0" xfId="2" quotePrefix="1" applyNumberFormat="1" applyFont="1" applyAlignment="1">
      <alignment horizontal="left"/>
    </xf>
    <xf numFmtId="0" fontId="6" fillId="0" borderId="9" xfId="2" applyFont="1" applyBorder="1" applyAlignment="1">
      <alignment horizontal="center" wrapText="1"/>
    </xf>
    <xf numFmtId="17" fontId="22" fillId="0" borderId="9" xfId="2" applyNumberFormat="1" applyFont="1" applyBorder="1" applyProtection="1">
      <protection locked="0"/>
    </xf>
    <xf numFmtId="164" fontId="34" fillId="9" borderId="9" xfId="3" applyFont="1" applyFill="1" applyBorder="1" applyProtection="1">
      <protection locked="0"/>
    </xf>
    <xf numFmtId="164" fontId="34" fillId="0" borderId="9" xfId="3" applyFont="1" applyFill="1" applyBorder="1" applyProtection="1">
      <protection locked="0"/>
    </xf>
    <xf numFmtId="0" fontId="39" fillId="0" borderId="28" xfId="2" applyFont="1" applyBorder="1" applyAlignment="1">
      <alignment horizontal="right"/>
    </xf>
    <xf numFmtId="164" fontId="5" fillId="0" borderId="29" xfId="3" applyFont="1" applyBorder="1"/>
    <xf numFmtId="0" fontId="12" fillId="0" borderId="9" xfId="2" quotePrefix="1" applyFont="1" applyBorder="1" applyAlignment="1">
      <alignment horizontal="left"/>
    </xf>
    <xf numFmtId="0" fontId="6" fillId="0" borderId="9" xfId="2" applyFont="1" applyBorder="1" applyAlignment="1">
      <alignment horizontal="right"/>
    </xf>
    <xf numFmtId="164" fontId="5" fillId="0" borderId="9" xfId="3" applyFont="1" applyBorder="1"/>
    <xf numFmtId="0" fontId="12" fillId="0" borderId="9" xfId="2" applyFont="1" applyBorder="1" applyAlignment="1">
      <alignment horizontal="right"/>
    </xf>
    <xf numFmtId="0" fontId="38" fillId="0" borderId="0" xfId="2" quotePrefix="1" applyFont="1" applyAlignment="1">
      <alignment horizontal="center" vertical="center"/>
    </xf>
    <xf numFmtId="0" fontId="38" fillId="0" borderId="30" xfId="2" quotePrefix="1" applyFont="1" applyBorder="1" applyAlignment="1">
      <alignment horizontal="left"/>
    </xf>
    <xf numFmtId="0" fontId="5" fillId="0" borderId="31" xfId="2" applyBorder="1"/>
    <xf numFmtId="2" fontId="5" fillId="0" borderId="31" xfId="2" applyNumberFormat="1" applyBorder="1"/>
    <xf numFmtId="2" fontId="5" fillId="0" borderId="32" xfId="2" applyNumberFormat="1" applyBorder="1"/>
    <xf numFmtId="0" fontId="5" fillId="0" borderId="30" xfId="2" applyBorder="1"/>
    <xf numFmtId="0" fontId="5" fillId="0" borderId="32" xfId="2" applyBorder="1"/>
    <xf numFmtId="0" fontId="40" fillId="0" borderId="7" xfId="2" applyFont="1" applyBorder="1"/>
    <xf numFmtId="2" fontId="12" fillId="0" borderId="8" xfId="2" applyNumberFormat="1" applyFont="1" applyBorder="1"/>
    <xf numFmtId="0" fontId="5" fillId="0" borderId="8" xfId="2" applyBorder="1"/>
    <xf numFmtId="0" fontId="32" fillId="0" borderId="7" xfId="2" applyFont="1" applyBorder="1" applyAlignment="1">
      <alignment horizontal="left"/>
    </xf>
    <xf numFmtId="0" fontId="32" fillId="0" borderId="0" xfId="2" applyFont="1" applyAlignment="1">
      <alignment wrapText="1"/>
    </xf>
    <xf numFmtId="2" fontId="32" fillId="0" borderId="0" xfId="2" quotePrefix="1" applyNumberFormat="1" applyFont="1" applyAlignment="1">
      <alignment horizontal="left" wrapText="1"/>
    </xf>
    <xf numFmtId="2" fontId="32" fillId="0" borderId="8" xfId="2" applyNumberFormat="1" applyFont="1" applyBorder="1" applyAlignment="1">
      <alignment wrapText="1"/>
    </xf>
    <xf numFmtId="0" fontId="32" fillId="0" borderId="0" xfId="2" applyFont="1"/>
    <xf numFmtId="2" fontId="32" fillId="0" borderId="8" xfId="2" applyNumberFormat="1" applyFont="1" applyBorder="1"/>
    <xf numFmtId="0" fontId="32" fillId="0" borderId="7" xfId="2" applyFont="1" applyBorder="1"/>
    <xf numFmtId="2" fontId="32" fillId="0" borderId="0" xfId="2" applyNumberFormat="1" applyFont="1" applyAlignment="1">
      <alignment wrapText="1"/>
    </xf>
    <xf numFmtId="0" fontId="32" fillId="0" borderId="8" xfId="2" applyFont="1" applyBorder="1" applyAlignment="1">
      <alignment wrapText="1"/>
    </xf>
    <xf numFmtId="0" fontId="5" fillId="0" borderId="33" xfId="2" applyBorder="1"/>
    <xf numFmtId="0" fontId="5" fillId="0" borderId="34" xfId="2" applyBorder="1"/>
    <xf numFmtId="2" fontId="5" fillId="0" borderId="34" xfId="2" quotePrefix="1" applyNumberFormat="1" applyBorder="1" applyAlignment="1">
      <alignment horizontal="left"/>
    </xf>
    <xf numFmtId="2" fontId="5" fillId="0" borderId="29" xfId="2" applyNumberFormat="1" applyBorder="1"/>
    <xf numFmtId="2" fontId="5" fillId="0" borderId="34" xfId="2" applyNumberFormat="1" applyBorder="1"/>
    <xf numFmtId="0" fontId="5" fillId="0" borderId="29" xfId="2" applyBorder="1"/>
    <xf numFmtId="0" fontId="5" fillId="0" borderId="36" xfId="2" applyBorder="1"/>
    <xf numFmtId="4" fontId="5" fillId="0" borderId="0" xfId="2" applyNumberFormat="1" applyAlignment="1">
      <alignment vertical="center"/>
    </xf>
    <xf numFmtId="0" fontId="5" fillId="0" borderId="0" xfId="2" applyAlignment="1">
      <alignment horizontal="centerContinuous" vertical="center"/>
    </xf>
    <xf numFmtId="164" fontId="5" fillId="0" borderId="37" xfId="3" applyFont="1" applyBorder="1" applyAlignment="1">
      <alignment vertical="center"/>
    </xf>
    <xf numFmtId="164" fontId="5" fillId="0" borderId="0" xfId="3" quotePrefix="1" applyFont="1" applyAlignment="1">
      <alignment horizontal="centerContinuous" vertical="center" wrapText="1"/>
    </xf>
    <xf numFmtId="164" fontId="5" fillId="0" borderId="0" xfId="3" applyFont="1" applyAlignment="1">
      <alignment horizontal="centerContinuous" vertical="center"/>
    </xf>
    <xf numFmtId="0" fontId="7" fillId="0" borderId="7" xfId="2" applyFont="1" applyBorder="1" applyAlignment="1">
      <alignment horizontal="centerContinuous" vertical="center" wrapText="1"/>
    </xf>
    <xf numFmtId="164" fontId="12" fillId="0" borderId="0" xfId="3" applyFont="1" applyAlignment="1">
      <alignment horizontal="center" vertical="center"/>
    </xf>
    <xf numFmtId="164" fontId="12" fillId="0" borderId="37" xfId="3" applyFont="1" applyBorder="1" applyAlignment="1">
      <alignment vertical="center"/>
    </xf>
    <xf numFmtId="3" fontId="12" fillId="0" borderId="0" xfId="2" applyNumberFormat="1" applyFont="1" applyAlignment="1">
      <alignment vertical="center"/>
    </xf>
    <xf numFmtId="164" fontId="12" fillId="0" borderId="33" xfId="3" applyFont="1" applyBorder="1" applyAlignment="1">
      <alignment horizontal="center" vertical="center"/>
    </xf>
    <xf numFmtId="164" fontId="12" fillId="0" borderId="34" xfId="3" applyFont="1" applyBorder="1" applyAlignment="1">
      <alignment horizontal="center" vertical="center"/>
    </xf>
    <xf numFmtId="164" fontId="12" fillId="0" borderId="28" xfId="3" applyFont="1" applyBorder="1" applyAlignment="1">
      <alignment vertical="center"/>
    </xf>
    <xf numFmtId="0" fontId="12" fillId="0" borderId="7" xfId="2" applyFont="1" applyBorder="1" applyAlignment="1">
      <alignment horizontal="center" vertical="center"/>
    </xf>
    <xf numFmtId="0" fontId="12" fillId="0" borderId="0" xfId="2" applyFont="1" applyAlignment="1">
      <alignment horizontal="center" vertical="center"/>
    </xf>
    <xf numFmtId="166" fontId="12" fillId="0" borderId="0" xfId="3" applyNumberFormat="1" applyFont="1" applyAlignment="1">
      <alignment horizontal="center" vertical="center"/>
    </xf>
    <xf numFmtId="3" fontId="13" fillId="0" borderId="0" xfId="2" applyNumberFormat="1" applyFont="1" applyAlignment="1">
      <alignment horizontal="center" vertical="center"/>
    </xf>
    <xf numFmtId="3" fontId="5" fillId="0" borderId="0" xfId="2" applyNumberFormat="1"/>
    <xf numFmtId="0" fontId="43" fillId="0" borderId="19" xfId="2" applyFont="1" applyBorder="1" applyAlignment="1">
      <alignment horizontal="left"/>
    </xf>
    <xf numFmtId="0" fontId="44" fillId="0" borderId="1" xfId="2" applyFont="1" applyBorder="1"/>
    <xf numFmtId="0" fontId="44" fillId="0" borderId="2" xfId="2" applyFont="1" applyBorder="1"/>
    <xf numFmtId="4" fontId="5" fillId="5" borderId="0" xfId="2" applyNumberFormat="1" applyFill="1" applyAlignment="1">
      <alignment horizontal="center" vertical="center"/>
    </xf>
    <xf numFmtId="0" fontId="44" fillId="0" borderId="20" xfId="2" applyFont="1" applyBorder="1"/>
    <xf numFmtId="0" fontId="44" fillId="0" borderId="0" xfId="2" applyFont="1"/>
    <xf numFmtId="0" fontId="44" fillId="0" borderId="3" xfId="2" applyFont="1" applyBorder="1"/>
    <xf numFmtId="4" fontId="46" fillId="0" borderId="0" xfId="2" applyNumberFormat="1" applyFont="1" applyAlignment="1">
      <alignment horizontal="center" vertical="center"/>
    </xf>
    <xf numFmtId="0" fontId="47" fillId="0" borderId="20" xfId="2" applyFont="1" applyBorder="1" applyAlignment="1">
      <alignment horizontal="left" indent="1"/>
    </xf>
    <xf numFmtId="0" fontId="47" fillId="3" borderId="0" xfId="2" applyFont="1" applyFill="1" applyAlignment="1" applyProtection="1">
      <alignment horizontal="right"/>
      <protection locked="0"/>
    </xf>
    <xf numFmtId="3" fontId="47" fillId="3" borderId="3" xfId="3" applyNumberFormat="1" applyFont="1" applyFill="1" applyBorder="1" applyAlignment="1" applyProtection="1">
      <alignment horizontal="center"/>
      <protection locked="0"/>
    </xf>
    <xf numFmtId="0" fontId="47" fillId="0" borderId="20" xfId="2" applyFont="1" applyBorder="1"/>
    <xf numFmtId="0" fontId="47" fillId="0" borderId="0" xfId="2" applyFont="1"/>
    <xf numFmtId="3" fontId="47" fillId="0" borderId="0" xfId="3" applyNumberFormat="1" applyFont="1" applyAlignment="1">
      <alignment horizontal="center"/>
    </xf>
    <xf numFmtId="0" fontId="48" fillId="0" borderId="0" xfId="2" applyFont="1"/>
    <xf numFmtId="0" fontId="47" fillId="0" borderId="3" xfId="2" applyFont="1" applyBorder="1"/>
    <xf numFmtId="0" fontId="49" fillId="0" borderId="0" xfId="2" applyFont="1"/>
    <xf numFmtId="0" fontId="48" fillId="0" borderId="3" xfId="2" applyFont="1" applyBorder="1"/>
    <xf numFmtId="0" fontId="48" fillId="0" borderId="20" xfId="2" applyFont="1" applyBorder="1"/>
    <xf numFmtId="0" fontId="50" fillId="0" borderId="0" xfId="2" applyFont="1" applyAlignment="1">
      <alignment horizontal="left"/>
    </xf>
    <xf numFmtId="0" fontId="51" fillId="0" borderId="21" xfId="2" applyFont="1" applyBorder="1"/>
    <xf numFmtId="0" fontId="51" fillId="0" borderId="5" xfId="2" applyFont="1" applyBorder="1"/>
    <xf numFmtId="0" fontId="51" fillId="0" borderId="6" xfId="2" applyFont="1" applyBorder="1"/>
    <xf numFmtId="0" fontId="53" fillId="0" borderId="0" xfId="2" applyFont="1"/>
    <xf numFmtId="0" fontId="52" fillId="0" borderId="0" xfId="2" applyFont="1" applyAlignment="1">
      <alignment vertical="center"/>
    </xf>
    <xf numFmtId="0" fontId="12" fillId="0" borderId="0" xfId="2" applyFont="1" applyAlignment="1">
      <alignment horizontal="left" vertical="center"/>
    </xf>
    <xf numFmtId="0" fontId="31" fillId="0" borderId="0" xfId="2" applyFont="1" applyAlignment="1" applyProtection="1">
      <alignment horizontal="left" vertical="center"/>
      <protection locked="0"/>
    </xf>
    <xf numFmtId="0" fontId="31" fillId="0" borderId="0" xfId="2" applyFont="1" applyAlignment="1" applyProtection="1">
      <alignment vertical="center"/>
      <protection locked="0"/>
    </xf>
    <xf numFmtId="0" fontId="5" fillId="0" borderId="0" xfId="2" applyProtection="1">
      <protection locked="0"/>
    </xf>
    <xf numFmtId="4" fontId="5" fillId="0" borderId="0" xfId="2" applyNumberFormat="1"/>
    <xf numFmtId="0" fontId="34" fillId="0" borderId="0" xfId="2" applyFont="1"/>
    <xf numFmtId="14" fontId="5" fillId="0" borderId="0" xfId="2" applyNumberFormat="1"/>
    <xf numFmtId="0" fontId="7" fillId="0" borderId="0" xfId="2" applyFont="1"/>
    <xf numFmtId="0" fontId="33" fillId="0" borderId="0" xfId="2" applyFont="1"/>
    <xf numFmtId="4" fontId="7" fillId="0" borderId="0" xfId="2" applyNumberFormat="1" applyFont="1"/>
    <xf numFmtId="0" fontId="12" fillId="0" borderId="0" xfId="2" applyFont="1" applyAlignment="1">
      <alignment horizontal="center"/>
    </xf>
    <xf numFmtId="0" fontId="31" fillId="0" borderId="0" xfId="2" applyFont="1" applyAlignment="1">
      <alignment horizontal="center"/>
    </xf>
    <xf numFmtId="4" fontId="12" fillId="0" borderId="0" xfId="2" applyNumberFormat="1" applyFont="1" applyProtection="1">
      <protection locked="0"/>
    </xf>
    <xf numFmtId="166" fontId="31" fillId="0" borderId="0" xfId="3" applyNumberFormat="1" applyFont="1" applyFill="1" applyAlignment="1" applyProtection="1">
      <alignment vertical="center"/>
      <protection locked="0"/>
    </xf>
    <xf numFmtId="0" fontId="12" fillId="0" borderId="0" xfId="2" applyFont="1" applyAlignment="1">
      <alignment horizontal="left" vertical="center" wrapText="1"/>
    </xf>
    <xf numFmtId="0" fontId="31" fillId="0" borderId="0" xfId="2" applyFont="1" applyAlignment="1">
      <alignment horizontal="left" vertical="center" wrapText="1"/>
    </xf>
    <xf numFmtId="164" fontId="12" fillId="0" borderId="0" xfId="3" applyFont="1" applyAlignment="1" applyProtection="1">
      <alignment vertical="center"/>
      <protection locked="0"/>
    </xf>
    <xf numFmtId="8" fontId="5" fillId="0" borderId="0" xfId="2" applyNumberFormat="1"/>
    <xf numFmtId="14" fontId="31" fillId="0" borderId="0" xfId="3" applyNumberFormat="1" applyFont="1" applyFill="1" applyAlignment="1" applyProtection="1">
      <alignment horizontal="center" vertical="center"/>
      <protection locked="0"/>
    </xf>
    <xf numFmtId="0" fontId="12" fillId="0" borderId="0" xfId="2" applyFont="1" applyAlignment="1">
      <alignment horizontal="left"/>
    </xf>
    <xf numFmtId="0" fontId="31" fillId="0" borderId="0" xfId="2" applyFont="1" applyAlignment="1" applyProtection="1">
      <alignment horizontal="center"/>
      <protection locked="0"/>
    </xf>
    <xf numFmtId="164" fontId="12" fillId="5" borderId="0" xfId="3" applyFont="1" applyFill="1" applyAlignment="1" applyProtection="1">
      <alignment vertical="center"/>
      <protection locked="0"/>
    </xf>
    <xf numFmtId="4" fontId="7" fillId="0" borderId="0" xfId="2" applyNumberFormat="1" applyFont="1" applyAlignment="1">
      <alignment vertical="center"/>
    </xf>
    <xf numFmtId="4" fontId="29" fillId="0" borderId="0" xfId="2" applyNumberFormat="1" applyFont="1" applyAlignment="1">
      <alignment horizontal="right" vertical="center"/>
    </xf>
    <xf numFmtId="4" fontId="29" fillId="0" borderId="0" xfId="2" applyNumberFormat="1" applyFont="1" applyAlignment="1">
      <alignment vertical="center"/>
    </xf>
    <xf numFmtId="0" fontId="7" fillId="0" borderId="7" xfId="2" applyFont="1" applyBorder="1" applyAlignment="1">
      <alignment horizontal="center"/>
    </xf>
    <xf numFmtId="0" fontId="7" fillId="0" borderId="37" xfId="2" applyFont="1" applyBorder="1" applyAlignment="1">
      <alignment horizontal="center"/>
    </xf>
    <xf numFmtId="0" fontId="55" fillId="0" borderId="36" xfId="2" applyFont="1" applyBorder="1" applyAlignment="1">
      <alignment horizontal="center"/>
    </xf>
    <xf numFmtId="0" fontId="55" fillId="0" borderId="33" xfId="2" applyFont="1" applyBorder="1" applyAlignment="1">
      <alignment horizontal="center"/>
    </xf>
    <xf numFmtId="0" fontId="56" fillId="8" borderId="30" xfId="2" applyFont="1" applyFill="1" applyBorder="1" applyAlignment="1">
      <alignment horizontal="center"/>
    </xf>
    <xf numFmtId="0" fontId="56" fillId="8" borderId="31" xfId="2" applyFont="1" applyFill="1" applyBorder="1" applyAlignment="1">
      <alignment horizontal="center"/>
    </xf>
    <xf numFmtId="0" fontId="56" fillId="8" borderId="32" xfId="2" applyFont="1" applyFill="1" applyBorder="1" applyAlignment="1">
      <alignment horizontal="center"/>
    </xf>
    <xf numFmtId="0" fontId="7" fillId="0" borderId="0" xfId="2" applyFont="1" applyAlignment="1">
      <alignment horizontal="center"/>
    </xf>
    <xf numFmtId="0" fontId="5" fillId="0" borderId="7" xfId="2" applyBorder="1" applyAlignment="1">
      <alignment vertical="center" wrapText="1"/>
    </xf>
    <xf numFmtId="164" fontId="7" fillId="0" borderId="37" xfId="3" applyFont="1" applyBorder="1" applyAlignment="1">
      <alignment vertical="center"/>
    </xf>
    <xf numFmtId="4" fontId="5" fillId="0" borderId="37" xfId="2" applyNumberFormat="1" applyBorder="1"/>
    <xf numFmtId="4" fontId="12" fillId="0" borderId="0" xfId="2" applyNumberFormat="1" applyFont="1" applyAlignment="1">
      <alignment horizontal="center" vertical="center"/>
    </xf>
    <xf numFmtId="0" fontId="5" fillId="0" borderId="33" xfId="2" applyBorder="1" applyAlignment="1">
      <alignment vertical="center" wrapText="1"/>
    </xf>
    <xf numFmtId="164" fontId="7" fillId="0" borderId="28" xfId="3" applyFont="1" applyBorder="1" applyAlignment="1">
      <alignment vertical="center"/>
    </xf>
    <xf numFmtId="4" fontId="7" fillId="0" borderId="33" xfId="2" applyNumberFormat="1" applyFont="1" applyBorder="1" applyAlignment="1">
      <alignment horizontal="center" vertical="center"/>
    </xf>
    <xf numFmtId="164" fontId="5" fillId="0" borderId="28" xfId="3" applyFont="1" applyBorder="1" applyAlignment="1">
      <alignment horizontal="center" vertical="center"/>
    </xf>
    <xf numFmtId="4" fontId="5" fillId="0" borderId="28" xfId="2" applyNumberFormat="1" applyBorder="1"/>
    <xf numFmtId="0" fontId="5" fillId="0" borderId="0" xfId="2" applyAlignment="1">
      <alignment vertical="center"/>
    </xf>
    <xf numFmtId="44" fontId="7" fillId="0" borderId="0" xfId="4" applyFont="1" applyAlignment="1">
      <alignment vertical="center"/>
    </xf>
    <xf numFmtId="4" fontId="7" fillId="0" borderId="0" xfId="2" applyNumberFormat="1" applyFont="1" applyAlignment="1">
      <alignment horizontal="center" vertical="center"/>
    </xf>
    <xf numFmtId="44" fontId="5" fillId="0" borderId="0" xfId="4" applyFont="1" applyAlignment="1">
      <alignment horizontal="center" vertical="center"/>
    </xf>
    <xf numFmtId="0" fontId="12" fillId="0" borderId="0" xfId="2" applyFont="1" applyAlignment="1">
      <alignment horizontal="center" wrapText="1"/>
    </xf>
    <xf numFmtId="0" fontId="12" fillId="0" borderId="0" xfId="2" applyFont="1" applyAlignment="1">
      <alignment wrapText="1"/>
    </xf>
    <xf numFmtId="0" fontId="7" fillId="0" borderId="36" xfId="2" applyFont="1" applyBorder="1" applyAlignment="1">
      <alignment horizontal="center"/>
    </xf>
    <xf numFmtId="0" fontId="55" fillId="0" borderId="9" xfId="2" applyFont="1" applyBorder="1" applyAlignment="1">
      <alignment horizontal="center"/>
    </xf>
    <xf numFmtId="0" fontId="56" fillId="8" borderId="0" xfId="2" applyFont="1" applyFill="1" applyAlignment="1">
      <alignment horizontal="center"/>
    </xf>
    <xf numFmtId="0" fontId="5" fillId="0" borderId="37" xfId="2" applyBorder="1" applyAlignment="1">
      <alignment vertical="center" wrapText="1"/>
    </xf>
    <xf numFmtId="0" fontId="5" fillId="0" borderId="28" xfId="2" applyBorder="1" applyAlignment="1">
      <alignment vertical="center" wrapText="1"/>
    </xf>
    <xf numFmtId="44" fontId="7" fillId="0" borderId="0" xfId="5" applyAlignment="1">
      <alignment vertical="center"/>
    </xf>
    <xf numFmtId="44" fontId="5" fillId="0" borderId="0" xfId="5" applyFont="1" applyAlignment="1">
      <alignment horizontal="center" vertical="center"/>
    </xf>
    <xf numFmtId="0" fontId="12" fillId="0" borderId="0" xfId="2" applyFont="1" applyAlignment="1" applyProtection="1">
      <alignment horizontal="left"/>
      <protection locked="0"/>
    </xf>
    <xf numFmtId="2" fontId="12" fillId="0" borderId="0" xfId="2" applyNumberFormat="1" applyFont="1" applyAlignment="1">
      <alignment vertical="center"/>
    </xf>
    <xf numFmtId="14" fontId="7" fillId="0" borderId="0" xfId="2" applyNumberFormat="1" applyFont="1" applyAlignment="1" applyProtection="1">
      <alignment horizontal="left"/>
      <protection locked="0"/>
    </xf>
    <xf numFmtId="14" fontId="5" fillId="0" borderId="0" xfId="2" applyNumberFormat="1" applyAlignment="1" applyProtection="1">
      <alignment horizontal="left"/>
      <protection locked="0"/>
    </xf>
    <xf numFmtId="4" fontId="5" fillId="0" borderId="0" xfId="2" applyNumberFormat="1" applyAlignment="1">
      <alignment horizontal="left"/>
    </xf>
    <xf numFmtId="2" fontId="12" fillId="0" borderId="7" xfId="2" applyNumberFormat="1" applyFont="1" applyBorder="1"/>
    <xf numFmtId="0" fontId="38" fillId="0" borderId="0" xfId="2" applyFont="1" applyAlignment="1">
      <alignment horizontal="center" vertical="center"/>
    </xf>
    <xf numFmtId="2" fontId="5" fillId="0" borderId="0" xfId="2" applyNumberFormat="1" applyAlignment="1">
      <alignment horizontal="center"/>
    </xf>
    <xf numFmtId="0" fontId="7" fillId="0" borderId="0" xfId="2" applyFont="1" applyAlignment="1">
      <alignment horizontal="right"/>
    </xf>
    <xf numFmtId="164" fontId="34" fillId="0" borderId="0" xfId="3" applyFont="1" applyFill="1" applyBorder="1" applyProtection="1">
      <protection locked="0"/>
    </xf>
    <xf numFmtId="164" fontId="7" fillId="0" borderId="0" xfId="3" applyFont="1" applyBorder="1"/>
    <xf numFmtId="17" fontId="5" fillId="0" borderId="0" xfId="2" applyNumberFormat="1" applyProtection="1">
      <protection locked="0"/>
    </xf>
    <xf numFmtId="164" fontId="5" fillId="0" borderId="0" xfId="6" applyFont="1" applyFill="1" applyBorder="1" applyProtection="1">
      <protection locked="0"/>
    </xf>
    <xf numFmtId="17" fontId="6" fillId="0" borderId="0" xfId="2" applyNumberFormat="1" applyFont="1" applyAlignment="1" applyProtection="1">
      <alignment horizontal="right"/>
      <protection locked="0"/>
    </xf>
    <xf numFmtId="4" fontId="60" fillId="0" borderId="0" xfId="2" applyNumberFormat="1" applyFont="1" applyAlignment="1">
      <alignment horizontal="center"/>
    </xf>
    <xf numFmtId="0" fontId="59" fillId="0" borderId="9" xfId="2" applyFont="1" applyBorder="1" applyAlignment="1">
      <alignment horizontal="center" vertical="center"/>
    </xf>
    <xf numFmtId="14" fontId="59" fillId="0" borderId="9" xfId="2" applyNumberFormat="1" applyFont="1" applyBorder="1" applyAlignment="1">
      <alignment horizontal="center" vertical="center"/>
    </xf>
    <xf numFmtId="0" fontId="59" fillId="0" borderId="9" xfId="2" applyFont="1" applyBorder="1" applyAlignment="1">
      <alignment horizontal="center" vertical="center" wrapText="1"/>
    </xf>
    <xf numFmtId="14" fontId="59" fillId="0" borderId="9" xfId="2" applyNumberFormat="1" applyFont="1" applyBorder="1" applyAlignment="1">
      <alignment vertical="center"/>
    </xf>
    <xf numFmtId="0" fontId="60" fillId="0" borderId="0" xfId="2" applyFont="1" applyAlignment="1">
      <alignment vertical="center"/>
    </xf>
    <xf numFmtId="14" fontId="60" fillId="5" borderId="9" xfId="2" applyNumberFormat="1" applyFont="1" applyFill="1" applyBorder="1" applyAlignment="1" applyProtection="1">
      <alignment horizontal="center"/>
      <protection locked="0"/>
    </xf>
    <xf numFmtId="9" fontId="60" fillId="5" borderId="9" xfId="2" applyNumberFormat="1" applyFont="1" applyFill="1" applyBorder="1" applyAlignment="1" applyProtection="1">
      <alignment horizontal="center"/>
      <protection locked="0"/>
    </xf>
    <xf numFmtId="164" fontId="60" fillId="0" borderId="9" xfId="6" applyFont="1" applyBorder="1"/>
    <xf numFmtId="164" fontId="60" fillId="0" borderId="9" xfId="6" applyFont="1" applyBorder="1" applyAlignment="1">
      <alignment horizontal="right"/>
    </xf>
    <xf numFmtId="0" fontId="60" fillId="0" borderId="0" xfId="2" applyFont="1"/>
    <xf numFmtId="165" fontId="60" fillId="0" borderId="0" xfId="6" applyNumberFormat="1" applyFont="1"/>
    <xf numFmtId="0" fontId="61" fillId="5" borderId="9" xfId="2" applyFont="1" applyFill="1" applyBorder="1" applyAlignment="1" applyProtection="1">
      <alignment horizontal="right"/>
      <protection locked="0"/>
    </xf>
    <xf numFmtId="14" fontId="60" fillId="5" borderId="9" xfId="2" applyNumberFormat="1" applyFont="1" applyFill="1" applyBorder="1" applyProtection="1">
      <protection locked="0"/>
    </xf>
    <xf numFmtId="0" fontId="60" fillId="5" borderId="9" xfId="2" applyFont="1" applyFill="1" applyBorder="1" applyProtection="1">
      <protection locked="0"/>
    </xf>
    <xf numFmtId="0" fontId="60" fillId="0" borderId="9" xfId="2" applyFont="1" applyBorder="1"/>
    <xf numFmtId="165" fontId="60" fillId="0" borderId="9" xfId="6" applyNumberFormat="1" applyFont="1" applyBorder="1"/>
    <xf numFmtId="164" fontId="60" fillId="0" borderId="9" xfId="2" applyNumberFormat="1" applyFont="1" applyBorder="1"/>
    <xf numFmtId="164" fontId="60" fillId="14" borderId="9" xfId="2" applyNumberFormat="1" applyFont="1" applyFill="1" applyBorder="1"/>
    <xf numFmtId="164" fontId="5" fillId="0" borderId="0" xfId="2" applyNumberFormat="1"/>
    <xf numFmtId="164" fontId="60" fillId="0" borderId="0" xfId="2" applyNumberFormat="1" applyFont="1"/>
    <xf numFmtId="165" fontId="59" fillId="10" borderId="25" xfId="6" applyNumberFormat="1" applyFont="1" applyFill="1" applyBorder="1" applyAlignment="1">
      <alignment vertical="center"/>
    </xf>
    <xf numFmtId="0" fontId="4" fillId="0" borderId="0" xfId="7"/>
    <xf numFmtId="0" fontId="3" fillId="0" borderId="0" xfId="7" applyFont="1"/>
    <xf numFmtId="0" fontId="12" fillId="0" borderId="0" xfId="0" applyFont="1"/>
    <xf numFmtId="168" fontId="0" fillId="0" borderId="0" xfId="0" applyNumberFormat="1"/>
    <xf numFmtId="0" fontId="0" fillId="0" borderId="0" xfId="0" applyAlignment="1">
      <alignment wrapText="1"/>
    </xf>
    <xf numFmtId="0" fontId="73" fillId="0" borderId="0" xfId="0" applyFont="1"/>
    <xf numFmtId="0" fontId="37" fillId="0" borderId="0" xfId="0" applyFont="1"/>
    <xf numFmtId="0" fontId="0" fillId="0" borderId="0" xfId="0" applyFill="1"/>
    <xf numFmtId="0" fontId="12" fillId="0" borderId="0" xfId="0" applyFont="1" applyFill="1"/>
    <xf numFmtId="0" fontId="0" fillId="0" borderId="0" xfId="0" applyAlignment="1">
      <alignment horizontal="right"/>
    </xf>
    <xf numFmtId="0" fontId="0" fillId="0" borderId="0" xfId="0" applyAlignment="1">
      <alignment horizontal="center"/>
    </xf>
    <xf numFmtId="0" fontId="75" fillId="0" borderId="0" xfId="0" applyFont="1"/>
    <xf numFmtId="0" fontId="0" fillId="0" borderId="0" xfId="0" applyFont="1" applyAlignment="1">
      <alignment vertical="center"/>
    </xf>
    <xf numFmtId="0" fontId="0" fillId="0" borderId="0" xfId="0" applyFont="1"/>
    <xf numFmtId="0" fontId="74" fillId="0" borderId="0" xfId="0" applyFont="1" applyFill="1" applyBorder="1" applyAlignment="1">
      <alignment horizontal="center"/>
    </xf>
    <xf numFmtId="0" fontId="0" fillId="0" borderId="0" xfId="0" applyFill="1" applyAlignment="1">
      <alignment shrinkToFit="1"/>
    </xf>
    <xf numFmtId="167" fontId="12" fillId="0" borderId="0" xfId="0" applyNumberFormat="1" applyFont="1" applyFill="1" applyAlignment="1">
      <alignment shrinkToFit="1"/>
    </xf>
    <xf numFmtId="0" fontId="0" fillId="0" borderId="0" xfId="0" applyAlignment="1">
      <alignment shrinkToFit="1"/>
    </xf>
    <xf numFmtId="14" fontId="12" fillId="0" borderId="0" xfId="0" applyNumberFormat="1" applyFont="1" applyFill="1" applyAlignment="1">
      <alignment shrinkToFit="1"/>
    </xf>
    <xf numFmtId="14" fontId="12" fillId="0" borderId="0" xfId="0" applyNumberFormat="1" applyFont="1" applyAlignment="1"/>
    <xf numFmtId="0" fontId="0" fillId="0" borderId="0" xfId="0" applyProtection="1">
      <protection locked="0"/>
    </xf>
    <xf numFmtId="0" fontId="0" fillId="0" borderId="0" xfId="0" applyFill="1" applyProtection="1">
      <protection locked="0"/>
    </xf>
    <xf numFmtId="167" fontId="12" fillId="17" borderId="0" xfId="0" applyNumberFormat="1" applyFont="1" applyFill="1" applyAlignment="1" applyProtection="1">
      <alignment shrinkToFit="1"/>
      <protection locked="0"/>
    </xf>
    <xf numFmtId="0" fontId="9" fillId="0" borderId="0" xfId="1" applyFont="1" applyBorder="1" applyProtection="1"/>
    <xf numFmtId="0" fontId="10" fillId="0" borderId="0" xfId="1" applyFont="1" applyBorder="1" applyProtection="1"/>
    <xf numFmtId="0" fontId="19" fillId="0" borderId="0" xfId="0" applyFont="1" applyBorder="1" applyAlignment="1" applyProtection="1">
      <alignment horizontal="center" vertical="center"/>
    </xf>
    <xf numFmtId="14" fontId="20" fillId="6" borderId="40" xfId="0" applyNumberFormat="1" applyFont="1" applyFill="1" applyBorder="1" applyAlignment="1" applyProtection="1">
      <alignment horizontal="center" vertical="center"/>
    </xf>
    <xf numFmtId="0" fontId="10" fillId="0" borderId="0" xfId="1" applyFont="1" applyProtection="1"/>
    <xf numFmtId="0" fontId="24" fillId="0" borderId="0" xfId="0" applyFont="1" applyBorder="1" applyAlignment="1" applyProtection="1">
      <alignment horizontal="center" vertical="center"/>
    </xf>
    <xf numFmtId="0" fontId="0" fillId="0" borderId="0" xfId="0" applyBorder="1" applyProtection="1"/>
    <xf numFmtId="0" fontId="9" fillId="0" borderId="0" xfId="1" applyFont="1" applyFill="1" applyBorder="1" applyProtection="1"/>
    <xf numFmtId="0" fontId="9" fillId="0" borderId="0" xfId="1" applyFont="1" applyBorder="1" applyAlignment="1" applyProtection="1">
      <alignment horizontal="center"/>
    </xf>
    <xf numFmtId="0" fontId="11" fillId="0" borderId="0" xfId="0" applyFont="1" applyAlignment="1" applyProtection="1">
      <alignment vertical="center"/>
    </xf>
    <xf numFmtId="0" fontId="12" fillId="0" borderId="0" xfId="0" applyFont="1" applyBorder="1" applyAlignment="1" applyProtection="1">
      <alignment horizontal="center"/>
    </xf>
    <xf numFmtId="14" fontId="10" fillId="2" borderId="0" xfId="1" applyNumberFormat="1" applyFont="1" applyFill="1" applyBorder="1" applyAlignment="1" applyProtection="1">
      <alignment horizontal="center" vertical="center"/>
    </xf>
    <xf numFmtId="4" fontId="0" fillId="0" borderId="0" xfId="0" applyNumberFormat="1" applyBorder="1" applyAlignment="1" applyProtection="1">
      <alignment horizontal="center"/>
    </xf>
    <xf numFmtId="0" fontId="13" fillId="0" borderId="0" xfId="1" applyFont="1" applyBorder="1" applyAlignment="1" applyProtection="1">
      <alignment horizontal="center" vertical="center"/>
    </xf>
    <xf numFmtId="0" fontId="12" fillId="0" borderId="0" xfId="0" quotePrefix="1" applyFont="1" applyBorder="1" applyAlignment="1" applyProtection="1">
      <alignment horizontal="center"/>
    </xf>
    <xf numFmtId="2" fontId="67" fillId="0" borderId="0" xfId="0" applyNumberFormat="1" applyFont="1" applyBorder="1" applyAlignment="1" applyProtection="1">
      <alignment horizontal="center"/>
    </xf>
    <xf numFmtId="0" fontId="62" fillId="0" borderId="0" xfId="0" applyFont="1" applyBorder="1" applyAlignment="1" applyProtection="1">
      <alignment horizontal="center"/>
    </xf>
    <xf numFmtId="2" fontId="10" fillId="0" borderId="0" xfId="1" applyNumberFormat="1" applyFont="1" applyProtection="1"/>
    <xf numFmtId="0" fontId="29" fillId="0" borderId="0" xfId="0" applyFont="1" applyBorder="1" applyAlignment="1" applyProtection="1">
      <alignment horizontal="center" vertical="center"/>
    </xf>
    <xf numFmtId="0" fontId="14" fillId="0" borderId="0" xfId="1" applyFont="1" applyBorder="1" applyProtection="1"/>
    <xf numFmtId="14" fontId="10" fillId="0" borderId="0" xfId="1" applyNumberFormat="1" applyFont="1" applyFill="1" applyBorder="1" applyAlignment="1" applyProtection="1">
      <alignment horizontal="center"/>
    </xf>
    <xf numFmtId="0" fontId="6" fillId="0" borderId="0" xfId="0" applyFont="1" applyBorder="1" applyAlignment="1" applyProtection="1">
      <alignment horizontal="center" wrapText="1"/>
    </xf>
    <xf numFmtId="0" fontId="9" fillId="0" borderId="0" xfId="1" applyFont="1" applyBorder="1" applyAlignment="1" applyProtection="1">
      <alignment horizontal="center" vertical="center"/>
    </xf>
    <xf numFmtId="0" fontId="62" fillId="0" borderId="0" xfId="0" applyFont="1" applyBorder="1" applyAlignment="1" applyProtection="1">
      <alignment horizontal="center" vertical="center" wrapText="1"/>
    </xf>
    <xf numFmtId="0" fontId="65" fillId="0" borderId="0" xfId="1" applyFont="1" applyProtection="1"/>
    <xf numFmtId="0" fontId="18" fillId="0" borderId="0" xfId="0" applyFont="1" applyBorder="1" applyAlignment="1" applyProtection="1">
      <alignment horizontal="center"/>
    </xf>
    <xf numFmtId="0" fontId="0" fillId="0" borderId="0" xfId="0" applyBorder="1" applyAlignment="1" applyProtection="1">
      <alignment horizontal="center"/>
    </xf>
    <xf numFmtId="0" fontId="12" fillId="0" borderId="0" xfId="0" applyFont="1" applyFill="1" applyBorder="1" applyAlignment="1" applyProtection="1">
      <alignment horizontal="center"/>
    </xf>
    <xf numFmtId="0" fontId="0" fillId="0" borderId="0" xfId="0" applyBorder="1" applyAlignment="1" applyProtection="1">
      <alignment horizontal="center" wrapText="1"/>
    </xf>
    <xf numFmtId="0" fontId="0" fillId="0" borderId="0" xfId="0" applyBorder="1" applyAlignment="1" applyProtection="1">
      <alignment horizontal="center" vertical="center"/>
    </xf>
    <xf numFmtId="14" fontId="12" fillId="0" borderId="39" xfId="0" applyNumberFormat="1" applyFont="1" applyFill="1" applyBorder="1" applyAlignment="1" applyProtection="1">
      <alignment horizontal="center" vertical="center"/>
    </xf>
    <xf numFmtId="0" fontId="10" fillId="0" borderId="0" xfId="1" applyFont="1" applyFill="1" applyBorder="1" applyAlignment="1" applyProtection="1">
      <alignment horizontal="center" vertical="center"/>
    </xf>
    <xf numFmtId="0" fontId="10" fillId="0" borderId="0" xfId="1" applyFont="1" applyBorder="1" applyAlignment="1" applyProtection="1">
      <alignment horizontal="center"/>
    </xf>
    <xf numFmtId="0" fontId="9" fillId="11" borderId="47" xfId="1" applyFont="1" applyFill="1" applyBorder="1" applyAlignment="1" applyProtection="1">
      <alignment horizontal="center"/>
    </xf>
    <xf numFmtId="0" fontId="9" fillId="11" borderId="48" xfId="1" applyFont="1" applyFill="1" applyBorder="1" applyAlignment="1" applyProtection="1">
      <alignment horizontal="center"/>
    </xf>
    <xf numFmtId="0" fontId="38" fillId="0" borderId="0" xfId="0" applyFont="1" applyBorder="1" applyAlignment="1" applyProtection="1">
      <alignment horizontal="center"/>
    </xf>
    <xf numFmtId="0" fontId="12" fillId="11" borderId="41" xfId="0" applyFont="1" applyFill="1" applyBorder="1" applyAlignment="1" applyProtection="1">
      <alignment horizontal="center"/>
    </xf>
    <xf numFmtId="0" fontId="12" fillId="11" borderId="42" xfId="0" applyFont="1" applyFill="1" applyBorder="1" applyAlignment="1" applyProtection="1">
      <alignment horizontal="center"/>
    </xf>
    <xf numFmtId="0" fontId="12" fillId="11" borderId="43" xfId="0" applyFont="1" applyFill="1" applyBorder="1" applyAlignment="1" applyProtection="1">
      <alignment horizontal="center"/>
    </xf>
    <xf numFmtId="0" fontId="10" fillId="0" borderId="0" xfId="1" applyFont="1" applyBorder="1" applyAlignment="1" applyProtection="1">
      <alignment vertical="center"/>
    </xf>
    <xf numFmtId="14" fontId="10" fillId="0" borderId="0" xfId="1" applyNumberFormat="1" applyFont="1" applyFill="1" applyBorder="1" applyAlignment="1" applyProtection="1">
      <alignment horizontal="center" vertical="center"/>
    </xf>
    <xf numFmtId="0" fontId="10" fillId="0" borderId="17" xfId="1" applyFont="1" applyBorder="1" applyProtection="1"/>
    <xf numFmtId="0" fontId="9" fillId="11" borderId="40" xfId="1" applyFont="1" applyFill="1" applyBorder="1" applyAlignment="1" applyProtection="1">
      <alignment horizontal="center"/>
    </xf>
    <xf numFmtId="0" fontId="64" fillId="0" borderId="0" xfId="0" applyFont="1" applyBorder="1" applyAlignment="1" applyProtection="1">
      <alignment horizontal="center"/>
    </xf>
    <xf numFmtId="0" fontId="66" fillId="11" borderId="43" xfId="1" applyFont="1" applyFill="1" applyBorder="1" applyAlignment="1" applyProtection="1">
      <alignment horizontal="center"/>
    </xf>
    <xf numFmtId="0" fontId="65" fillId="0" borderId="0" xfId="1" applyFont="1" applyBorder="1" applyProtection="1"/>
    <xf numFmtId="0" fontId="69" fillId="0" borderId="0" xfId="0" applyFont="1" applyBorder="1" applyAlignment="1" applyProtection="1">
      <alignment horizontal="center"/>
    </xf>
    <xf numFmtId="0" fontId="12" fillId="11" borderId="40" xfId="0" applyFont="1" applyFill="1" applyBorder="1" applyAlignment="1" applyProtection="1">
      <alignment horizontal="center"/>
    </xf>
    <xf numFmtId="167" fontId="71" fillId="0" borderId="25" xfId="0" applyNumberFormat="1" applyFont="1" applyFill="1" applyBorder="1" applyAlignment="1" applyProtection="1">
      <alignment horizontal="center"/>
    </xf>
    <xf numFmtId="0" fontId="29" fillId="0" borderId="0" xfId="0" applyFont="1" applyBorder="1" applyAlignment="1" applyProtection="1"/>
    <xf numFmtId="167" fontId="70" fillId="0" borderId="40" xfId="0" applyNumberFormat="1" applyFont="1" applyFill="1" applyBorder="1" applyAlignment="1" applyProtection="1">
      <alignment horizontal="center"/>
    </xf>
    <xf numFmtId="0" fontId="64" fillId="0" borderId="0" xfId="0" applyFont="1" applyFill="1" applyBorder="1" applyAlignment="1" applyProtection="1">
      <alignment horizontal="center"/>
    </xf>
    <xf numFmtId="0" fontId="6" fillId="0" borderId="9" xfId="2" applyFont="1" applyBorder="1" applyAlignment="1" applyProtection="1">
      <alignment horizontal="center" wrapText="1"/>
    </xf>
    <xf numFmtId="16" fontId="13" fillId="0" borderId="0" xfId="1" applyNumberFormat="1" applyFont="1" applyBorder="1" applyAlignment="1" applyProtection="1">
      <alignment horizontal="center" vertical="center"/>
    </xf>
    <xf numFmtId="17" fontId="22" fillId="0" borderId="9" xfId="2" applyNumberFormat="1" applyFont="1" applyBorder="1" applyProtection="1"/>
    <xf numFmtId="0" fontId="10" fillId="0" borderId="0" xfId="1" applyFont="1" applyFill="1" applyBorder="1" applyAlignment="1" applyProtection="1">
      <alignment horizontal="left" vertical="center"/>
    </xf>
    <xf numFmtId="0" fontId="6" fillId="0" borderId="9" xfId="2" applyFont="1" applyBorder="1" applyAlignment="1" applyProtection="1">
      <alignment horizontal="right"/>
    </xf>
    <xf numFmtId="164" fontId="5" fillId="0" borderId="9" xfId="3" applyFont="1" applyBorder="1" applyProtection="1"/>
    <xf numFmtId="0" fontId="12" fillId="0" borderId="9" xfId="2" applyFont="1" applyBorder="1" applyAlignment="1" applyProtection="1">
      <alignment horizontal="right"/>
    </xf>
    <xf numFmtId="0" fontId="12" fillId="0" borderId="0" xfId="2" applyFont="1" applyBorder="1" applyAlignment="1" applyProtection="1">
      <alignment horizontal="right"/>
    </xf>
    <xf numFmtId="164" fontId="12" fillId="0" borderId="0" xfId="3" applyFont="1" applyBorder="1" applyAlignment="1" applyProtection="1">
      <alignment horizontal="center"/>
    </xf>
    <xf numFmtId="0" fontId="10" fillId="0" borderId="0" xfId="1" applyFont="1" applyAlignment="1" applyProtection="1">
      <alignment horizontal="center"/>
    </xf>
    <xf numFmtId="0" fontId="10" fillId="7" borderId="0" xfId="1" applyFont="1" applyFill="1" applyBorder="1" applyAlignment="1" applyProtection="1">
      <alignment horizontal="center"/>
      <protection locked="0"/>
    </xf>
    <xf numFmtId="0" fontId="10" fillId="2" borderId="0" xfId="1" applyFont="1" applyFill="1" applyBorder="1" applyAlignment="1" applyProtection="1">
      <alignment horizontal="center"/>
      <protection locked="0"/>
    </xf>
    <xf numFmtId="169" fontId="10" fillId="2" borderId="0" xfId="1" applyNumberFormat="1" applyFont="1" applyFill="1" applyBorder="1" applyAlignment="1" applyProtection="1">
      <alignment horizontal="center" vertical="center"/>
      <protection locked="0"/>
    </xf>
    <xf numFmtId="14" fontId="10" fillId="2" borderId="0" xfId="1" applyNumberFormat="1" applyFont="1" applyFill="1" applyBorder="1" applyAlignment="1" applyProtection="1">
      <alignment horizontal="center" vertical="center"/>
      <protection locked="0"/>
    </xf>
    <xf numFmtId="0" fontId="67" fillId="4" borderId="0" xfId="0" applyFont="1" applyFill="1" applyBorder="1" applyAlignment="1" applyProtection="1">
      <alignment horizontal="center"/>
      <protection locked="0"/>
    </xf>
    <xf numFmtId="14" fontId="66" fillId="4" borderId="0" xfId="1" applyNumberFormat="1" applyFont="1" applyFill="1" applyBorder="1" applyAlignment="1" applyProtection="1">
      <alignment horizontal="center"/>
      <protection locked="0"/>
    </xf>
    <xf numFmtId="0" fontId="9" fillId="4" borderId="0" xfId="1" applyFont="1" applyFill="1" applyBorder="1" applyAlignment="1" applyProtection="1">
      <alignment horizontal="center" vertical="center"/>
      <protection locked="0"/>
    </xf>
    <xf numFmtId="14" fontId="68" fillId="16" borderId="0" xfId="1" applyNumberFormat="1" applyFont="1" applyFill="1" applyBorder="1" applyAlignment="1" applyProtection="1">
      <alignment horizontal="center"/>
      <protection locked="0"/>
    </xf>
    <xf numFmtId="14" fontId="10" fillId="2" borderId="0" xfId="1" applyNumberFormat="1" applyFont="1" applyFill="1" applyBorder="1" applyAlignment="1" applyProtection="1">
      <alignment horizontal="center"/>
      <protection locked="0"/>
    </xf>
    <xf numFmtId="4" fontId="10" fillId="2" borderId="0" xfId="1" applyNumberFormat="1" applyFont="1" applyFill="1" applyBorder="1" applyAlignment="1" applyProtection="1">
      <alignment horizontal="center"/>
      <protection locked="0"/>
    </xf>
    <xf numFmtId="14" fontId="71" fillId="0" borderId="29" xfId="0" applyNumberFormat="1" applyFont="1" applyBorder="1" applyAlignment="1" applyProtection="1">
      <alignment horizontal="center"/>
      <protection locked="0"/>
    </xf>
    <xf numFmtId="0" fontId="71" fillId="0" borderId="46" xfId="0" applyFont="1" applyBorder="1" applyAlignment="1" applyProtection="1">
      <alignment horizontal="center"/>
      <protection locked="0"/>
    </xf>
    <xf numFmtId="0" fontId="71" fillId="0" borderId="27" xfId="0" applyFont="1" applyBorder="1" applyAlignment="1" applyProtection="1">
      <alignment horizontal="center"/>
      <protection locked="0"/>
    </xf>
    <xf numFmtId="0" fontId="71" fillId="0" borderId="44" xfId="0" applyFont="1" applyBorder="1" applyAlignment="1" applyProtection="1">
      <alignment horizontal="center"/>
      <protection locked="0"/>
    </xf>
    <xf numFmtId="0" fontId="71" fillId="0" borderId="50" xfId="0" applyFont="1" applyBorder="1" applyAlignment="1" applyProtection="1">
      <alignment horizontal="center"/>
      <protection locked="0"/>
    </xf>
    <xf numFmtId="0" fontId="71" fillId="0" borderId="45" xfId="0" applyFont="1" applyBorder="1" applyAlignment="1" applyProtection="1">
      <alignment horizontal="center"/>
      <protection locked="0"/>
    </xf>
    <xf numFmtId="0" fontId="10" fillId="0" borderId="51" xfId="1" applyFont="1" applyFill="1" applyBorder="1" applyAlignment="1" applyProtection="1">
      <alignment horizontal="center"/>
      <protection locked="0"/>
    </xf>
    <xf numFmtId="0" fontId="72" fillId="0" borderId="52" xfId="0" applyFont="1" applyFill="1" applyBorder="1" applyAlignment="1" applyProtection="1">
      <alignment horizontal="center"/>
      <protection locked="0"/>
    </xf>
    <xf numFmtId="0" fontId="10" fillId="0" borderId="52" xfId="1" applyFont="1" applyFill="1" applyBorder="1" applyAlignment="1" applyProtection="1">
      <alignment horizontal="center"/>
      <protection locked="0"/>
    </xf>
    <xf numFmtId="0" fontId="10" fillId="0" borderId="53" xfId="1" applyFont="1" applyFill="1" applyBorder="1" applyAlignment="1" applyProtection="1">
      <alignment horizontal="center"/>
      <protection locked="0"/>
    </xf>
    <xf numFmtId="167" fontId="71" fillId="0" borderId="25" xfId="0" applyNumberFormat="1" applyFont="1" applyFill="1" applyBorder="1" applyAlignment="1" applyProtection="1">
      <alignment horizontal="center"/>
      <protection locked="0"/>
    </xf>
    <xf numFmtId="4" fontId="10" fillId="0" borderId="49" xfId="1" applyNumberFormat="1" applyFont="1" applyFill="1" applyBorder="1" applyAlignment="1" applyProtection="1">
      <alignment horizontal="center"/>
      <protection locked="0"/>
    </xf>
    <xf numFmtId="4" fontId="64" fillId="0" borderId="52" xfId="0" applyNumberFormat="1" applyFont="1" applyFill="1" applyBorder="1" applyAlignment="1" applyProtection="1">
      <alignment horizontal="center"/>
      <protection locked="0"/>
    </xf>
    <xf numFmtId="4" fontId="64" fillId="0" borderId="53" xfId="0" applyNumberFormat="1" applyFont="1" applyFill="1" applyBorder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12" fillId="0" borderId="0" xfId="0" applyFont="1" applyFill="1" applyAlignment="1"/>
    <xf numFmtId="0" fontId="0" fillId="0" borderId="0" xfId="0" applyFill="1" applyAlignment="1"/>
    <xf numFmtId="0" fontId="77" fillId="0" borderId="0" xfId="0" applyFont="1"/>
    <xf numFmtId="0" fontId="78" fillId="0" borderId="0" xfId="0" applyFont="1"/>
    <xf numFmtId="0" fontId="8" fillId="0" borderId="0" xfId="1"/>
    <xf numFmtId="0" fontId="80" fillId="4" borderId="61" xfId="0" applyFont="1" applyFill="1" applyBorder="1" applyAlignment="1">
      <alignment horizontal="center" vertical="center" wrapText="1"/>
    </xf>
    <xf numFmtId="0" fontId="82" fillId="18" borderId="0" xfId="0" applyFont="1" applyFill="1" applyAlignment="1">
      <alignment horizontal="center" vertical="top" wrapText="1"/>
    </xf>
    <xf numFmtId="0" fontId="82" fillId="18" borderId="65" xfId="0" applyFont="1" applyFill="1" applyBorder="1" applyAlignment="1">
      <alignment horizontal="center" vertical="top" wrapText="1"/>
    </xf>
    <xf numFmtId="0" fontId="82" fillId="19" borderId="0" xfId="0" applyFont="1" applyFill="1" applyAlignment="1">
      <alignment horizontal="center" vertical="top" wrapText="1"/>
    </xf>
    <xf numFmtId="0" fontId="82" fillId="19" borderId="65" xfId="0" applyFont="1" applyFill="1" applyBorder="1" applyAlignment="1">
      <alignment horizontal="center" vertical="top" wrapText="1"/>
    </xf>
    <xf numFmtId="0" fontId="83" fillId="18" borderId="0" xfId="0" applyFont="1" applyFill="1" applyAlignment="1">
      <alignment horizontal="center" vertical="top" wrapText="1"/>
    </xf>
    <xf numFmtId="0" fontId="83" fillId="19" borderId="0" xfId="0" applyFont="1" applyFill="1" applyAlignment="1">
      <alignment horizontal="center" vertical="top" wrapText="1"/>
    </xf>
    <xf numFmtId="0" fontId="83" fillId="19" borderId="67" xfId="0" applyFont="1" applyFill="1" applyBorder="1" applyAlignment="1">
      <alignment horizontal="center" vertical="top" wrapText="1"/>
    </xf>
    <xf numFmtId="0" fontId="80" fillId="4" borderId="4" xfId="0" applyFont="1" applyFill="1" applyBorder="1" applyAlignment="1">
      <alignment horizontal="center" vertical="top" wrapText="1"/>
    </xf>
    <xf numFmtId="0" fontId="6" fillId="4" borderId="25" xfId="0" applyFont="1" applyFill="1" applyBorder="1"/>
    <xf numFmtId="0" fontId="6" fillId="0" borderId="0" xfId="0" applyFont="1"/>
    <xf numFmtId="0" fontId="2" fillId="0" borderId="0" xfId="9"/>
    <xf numFmtId="164" fontId="2" fillId="0" borderId="37" xfId="3" quotePrefix="1" applyFont="1" applyBorder="1" applyAlignment="1">
      <alignment vertical="center"/>
    </xf>
    <xf numFmtId="0" fontId="88" fillId="11" borderId="0" xfId="11" applyFont="1" applyFill="1" applyAlignment="1">
      <alignment horizontal="center" vertical="center"/>
    </xf>
    <xf numFmtId="0" fontId="88" fillId="11" borderId="0" xfId="11" applyFont="1" applyFill="1" applyAlignment="1">
      <alignment horizontal="center" wrapText="1"/>
    </xf>
    <xf numFmtId="0" fontId="88" fillId="0" borderId="0" xfId="11" applyFont="1"/>
    <xf numFmtId="2" fontId="6" fillId="15" borderId="0" xfId="11" applyNumberFormat="1" applyFont="1" applyFill="1" applyAlignment="1">
      <alignment horizontal="left" vertical="center"/>
    </xf>
    <xf numFmtId="0" fontId="2" fillId="15" borderId="0" xfId="11" applyFill="1"/>
    <xf numFmtId="0" fontId="2" fillId="0" borderId="0" xfId="11"/>
    <xf numFmtId="0" fontId="2" fillId="15" borderId="0" xfId="11" applyFill="1" applyAlignment="1">
      <alignment horizontal="left"/>
    </xf>
    <xf numFmtId="0" fontId="6" fillId="20" borderId="0" xfId="11" applyFont="1" applyFill="1" applyAlignment="1">
      <alignment horizontal="left" vertical="center"/>
    </xf>
    <xf numFmtId="0" fontId="2" fillId="20" borderId="0" xfId="11" applyFill="1"/>
    <xf numFmtId="0" fontId="6" fillId="12" borderId="0" xfId="11" applyFont="1" applyFill="1" applyAlignment="1">
      <alignment horizontal="left" vertical="center"/>
    </xf>
    <xf numFmtId="0" fontId="2" fillId="12" borderId="0" xfId="11" applyFill="1"/>
    <xf numFmtId="0" fontId="6" fillId="0" borderId="0" xfId="11" applyFont="1"/>
    <xf numFmtId="2" fontId="2" fillId="20" borderId="0" xfId="11" quotePrefix="1" applyNumberFormat="1" applyFill="1"/>
    <xf numFmtId="164" fontId="12" fillId="11" borderId="9" xfId="3" applyNumberFormat="1" applyFont="1" applyFill="1" applyBorder="1" applyAlignment="1">
      <alignment horizontal="center" vertical="center"/>
    </xf>
    <xf numFmtId="2" fontId="2" fillId="12" borderId="0" xfId="11" applyNumberFormat="1" applyFill="1"/>
    <xf numFmtId="2" fontId="2" fillId="0" borderId="0" xfId="11" applyNumberFormat="1"/>
    <xf numFmtId="0" fontId="8" fillId="21" borderId="0" xfId="1" applyFill="1" applyProtection="1">
      <protection locked="0"/>
    </xf>
    <xf numFmtId="0" fontId="8" fillId="4" borderId="0" xfId="1" applyFill="1"/>
    <xf numFmtId="4" fontId="2" fillId="0" borderId="0" xfId="2" applyNumberFormat="1" applyFont="1" applyAlignment="1">
      <alignment vertical="center"/>
    </xf>
    <xf numFmtId="0" fontId="0" fillId="0" borderId="0" xfId="0" applyAlignment="1">
      <alignment horizontal="left"/>
    </xf>
    <xf numFmtId="0" fontId="79" fillId="0" borderId="0" xfId="12" applyFont="1"/>
    <xf numFmtId="0" fontId="1" fillId="0" borderId="0" xfId="12"/>
    <xf numFmtId="0" fontId="0" fillId="0" borderId="60" xfId="12" applyFont="1" applyBorder="1"/>
    <xf numFmtId="0" fontId="1" fillId="0" borderId="27" xfId="12" applyBorder="1"/>
    <xf numFmtId="0" fontId="1" fillId="0" borderId="9" xfId="12" applyBorder="1"/>
    <xf numFmtId="0" fontId="6" fillId="0" borderId="44" xfId="12" applyFont="1" applyBorder="1"/>
    <xf numFmtId="0" fontId="1" fillId="0" borderId="60" xfId="12" applyBorder="1"/>
    <xf numFmtId="0" fontId="0" fillId="0" borderId="27" xfId="12" applyFont="1" applyBorder="1"/>
    <xf numFmtId="0" fontId="6" fillId="4" borderId="57" xfId="12" applyFont="1" applyFill="1" applyBorder="1" applyAlignment="1">
      <alignment horizontal="center" vertical="center"/>
    </xf>
    <xf numFmtId="0" fontId="6" fillId="4" borderId="69" xfId="12" applyFont="1" applyFill="1" applyBorder="1" applyAlignment="1">
      <alignment horizontal="center" vertical="center"/>
    </xf>
    <xf numFmtId="0" fontId="6" fillId="4" borderId="58" xfId="12" applyFont="1" applyFill="1" applyBorder="1" applyAlignment="1">
      <alignment horizontal="center" vertical="center" wrapText="1"/>
    </xf>
    <xf numFmtId="0" fontId="6" fillId="4" borderId="59" xfId="12" applyFont="1" applyFill="1" applyBorder="1" applyAlignment="1">
      <alignment horizontal="center" vertical="center"/>
    </xf>
    <xf numFmtId="0" fontId="1" fillId="0" borderId="70" xfId="12" applyBorder="1"/>
    <xf numFmtId="0" fontId="1" fillId="0" borderId="50" xfId="12" applyBorder="1"/>
    <xf numFmtId="0" fontId="1" fillId="0" borderId="71" xfId="12" applyBorder="1"/>
    <xf numFmtId="0" fontId="6" fillId="0" borderId="45" xfId="12" applyFont="1" applyBorder="1"/>
    <xf numFmtId="2" fontId="2" fillId="15" borderId="0" xfId="11" quotePrefix="1" applyNumberFormat="1" applyFill="1" applyAlignment="1">
      <alignment horizontal="center"/>
    </xf>
    <xf numFmtId="2" fontId="2" fillId="20" borderId="0" xfId="11" quotePrefix="1" applyNumberFormat="1" applyFill="1" applyAlignment="1">
      <alignment horizontal="center"/>
    </xf>
    <xf numFmtId="2" fontId="2" fillId="20" borderId="0" xfId="11" applyNumberFormat="1" applyFill="1" applyAlignment="1">
      <alignment horizontal="center"/>
    </xf>
    <xf numFmtId="0" fontId="80" fillId="4" borderId="62" xfId="0" applyFont="1" applyFill="1" applyBorder="1" applyAlignment="1">
      <alignment horizontal="center" vertical="center" wrapText="1"/>
    </xf>
    <xf numFmtId="0" fontId="80" fillId="4" borderId="63" xfId="0" applyFont="1" applyFill="1" applyBorder="1" applyAlignment="1">
      <alignment horizontal="center" vertical="center" wrapText="1"/>
    </xf>
    <xf numFmtId="0" fontId="81" fillId="18" borderId="64" xfId="0" applyFont="1" applyFill="1" applyBorder="1" applyAlignment="1">
      <alignment horizontal="center" vertical="top" wrapText="1"/>
    </xf>
    <xf numFmtId="0" fontId="81" fillId="19" borderId="64" xfId="0" applyFont="1" applyFill="1" applyBorder="1" applyAlignment="1">
      <alignment horizontal="center" vertical="top" wrapText="1"/>
    </xf>
    <xf numFmtId="0" fontId="85" fillId="18" borderId="0" xfId="0" applyFont="1" applyFill="1" applyAlignment="1">
      <alignment horizontal="center" vertical="top" wrapText="1"/>
    </xf>
    <xf numFmtId="0" fontId="86" fillId="18" borderId="0" xfId="0" applyFont="1" applyFill="1" applyAlignment="1">
      <alignment horizontal="center" vertical="top" wrapText="1"/>
    </xf>
    <xf numFmtId="0" fontId="85" fillId="18" borderId="65" xfId="0" applyFont="1" applyFill="1" applyBorder="1" applyAlignment="1">
      <alignment horizontal="center" vertical="top" wrapText="1"/>
    </xf>
    <xf numFmtId="0" fontId="85" fillId="19" borderId="0" xfId="0" applyFont="1" applyFill="1" applyAlignment="1">
      <alignment horizontal="center" vertical="top" wrapText="1"/>
    </xf>
    <xf numFmtId="0" fontId="86" fillId="19" borderId="0" xfId="0" applyFont="1" applyFill="1" applyAlignment="1">
      <alignment horizontal="center" vertical="top" wrapText="1"/>
    </xf>
    <xf numFmtId="0" fontId="85" fillId="19" borderId="65" xfId="0" applyFont="1" applyFill="1" applyBorder="1" applyAlignment="1">
      <alignment horizontal="center" vertical="top" wrapText="1"/>
    </xf>
    <xf numFmtId="0" fontId="85" fillId="19" borderId="67" xfId="0" applyFont="1" applyFill="1" applyBorder="1" applyAlignment="1">
      <alignment horizontal="center" vertical="top" wrapText="1"/>
    </xf>
    <xf numFmtId="0" fontId="86" fillId="19" borderId="67" xfId="0" applyFont="1" applyFill="1" applyBorder="1" applyAlignment="1">
      <alignment horizontal="center" vertical="top" wrapText="1"/>
    </xf>
    <xf numFmtId="0" fontId="85" fillId="19" borderId="68" xfId="0" applyFont="1" applyFill="1" applyBorder="1" applyAlignment="1">
      <alignment horizontal="center" vertical="top" wrapText="1"/>
    </xf>
    <xf numFmtId="170" fontId="80" fillId="18" borderId="64" xfId="0" applyNumberFormat="1" applyFont="1" applyFill="1" applyBorder="1" applyAlignment="1">
      <alignment horizontal="center" vertical="top" wrapText="1"/>
    </xf>
    <xf numFmtId="170" fontId="80" fillId="19" borderId="64" xfId="0" applyNumberFormat="1" applyFont="1" applyFill="1" applyBorder="1" applyAlignment="1">
      <alignment horizontal="center" vertical="top" wrapText="1"/>
    </xf>
    <xf numFmtId="170" fontId="80" fillId="19" borderId="66" xfId="0" applyNumberFormat="1" applyFont="1" applyFill="1" applyBorder="1" applyAlignment="1">
      <alignment horizontal="center" vertical="top" wrapText="1"/>
    </xf>
    <xf numFmtId="0" fontId="9" fillId="21" borderId="0" xfId="1" applyFont="1" applyFill="1" applyAlignment="1" applyProtection="1">
      <alignment horizontal="center"/>
      <protection locked="0"/>
    </xf>
    <xf numFmtId="0" fontId="57" fillId="8" borderId="18" xfId="2" applyFont="1" applyFill="1" applyBorder="1" applyAlignment="1">
      <alignment horizontal="center" vertical="center"/>
    </xf>
    <xf numFmtId="0" fontId="57" fillId="8" borderId="18" xfId="2" applyFont="1" applyFill="1" applyBorder="1" applyAlignment="1">
      <alignment horizontal="center" vertical="center" wrapText="1"/>
    </xf>
    <xf numFmtId="0" fontId="84" fillId="11" borderId="0" xfId="0" applyFont="1" applyFill="1" applyAlignment="1" applyProtection="1">
      <alignment horizontal="center" vertical="top" wrapText="1"/>
      <protection locked="0"/>
    </xf>
    <xf numFmtId="0" fontId="84" fillId="11" borderId="67" xfId="0" applyFont="1" applyFill="1" applyBorder="1" applyAlignment="1" applyProtection="1">
      <alignment horizontal="center" vertical="top" wrapText="1"/>
      <protection locked="0"/>
    </xf>
    <xf numFmtId="0" fontId="84" fillId="12" borderId="0" xfId="0" applyFont="1" applyFill="1" applyAlignment="1" applyProtection="1">
      <alignment horizontal="center" vertical="top" wrapText="1"/>
      <protection locked="0"/>
    </xf>
    <xf numFmtId="0" fontId="9" fillId="0" borderId="0" xfId="1" applyFont="1" applyAlignment="1" applyProtection="1">
      <alignment wrapText="1"/>
    </xf>
    <xf numFmtId="0" fontId="76" fillId="3" borderId="0" xfId="8" applyFill="1" applyBorder="1" applyAlignment="1" applyProtection="1">
      <alignment horizontal="center" vertical="center"/>
    </xf>
    <xf numFmtId="164" fontId="12" fillId="0" borderId="26" xfId="3" applyFont="1" applyBorder="1" applyAlignment="1" applyProtection="1">
      <alignment horizontal="center"/>
    </xf>
    <xf numFmtId="164" fontId="12" fillId="0" borderId="27" xfId="3" applyFont="1" applyBorder="1" applyAlignment="1" applyProtection="1">
      <alignment horizontal="center"/>
    </xf>
    <xf numFmtId="0" fontId="29" fillId="0" borderId="0" xfId="0" applyFont="1" applyBorder="1" applyAlignment="1" applyProtection="1">
      <alignment horizontal="center"/>
    </xf>
    <xf numFmtId="0" fontId="15" fillId="0" borderId="0" xfId="1" applyFont="1" applyBorder="1" applyAlignment="1" applyProtection="1">
      <alignment horizontal="center" vertical="center"/>
    </xf>
    <xf numFmtId="0" fontId="15" fillId="0" borderId="16" xfId="1" applyFont="1" applyBorder="1" applyAlignment="1" applyProtection="1">
      <alignment horizontal="center" vertical="center"/>
    </xf>
    <xf numFmtId="0" fontId="10" fillId="0" borderId="0" xfId="1" applyFont="1" applyAlignment="1" applyProtection="1">
      <alignment horizontal="left" vertical="center" wrapText="1"/>
    </xf>
    <xf numFmtId="0" fontId="63" fillId="11" borderId="24" xfId="0" applyFont="1" applyFill="1" applyBorder="1" applyAlignment="1" applyProtection="1">
      <alignment horizontal="center" vertical="center"/>
    </xf>
    <xf numFmtId="0" fontId="63" fillId="11" borderId="4" xfId="0" applyFont="1" applyFill="1" applyBorder="1" applyAlignment="1" applyProtection="1">
      <alignment horizontal="center" vertical="center"/>
    </xf>
    <xf numFmtId="0" fontId="63" fillId="11" borderId="25" xfId="0" applyFont="1" applyFill="1" applyBorder="1" applyAlignment="1" applyProtection="1">
      <alignment horizontal="center" vertical="center"/>
    </xf>
    <xf numFmtId="0" fontId="12" fillId="0" borderId="26" xfId="2" applyFont="1" applyBorder="1" applyAlignment="1" applyProtection="1">
      <alignment horizontal="center" vertical="center" wrapText="1"/>
    </xf>
    <xf numFmtId="0" fontId="12" fillId="0" borderId="27" xfId="2" applyFont="1" applyBorder="1" applyAlignment="1" applyProtection="1">
      <alignment horizontal="center" vertical="center" wrapText="1"/>
    </xf>
    <xf numFmtId="0" fontId="50" fillId="0" borderId="33" xfId="2" applyFont="1" applyBorder="1" applyAlignment="1">
      <alignment horizontal="left" vertical="center" wrapText="1"/>
    </xf>
    <xf numFmtId="0" fontId="50" fillId="0" borderId="34" xfId="2" applyFont="1" applyBorder="1" applyAlignment="1">
      <alignment horizontal="left" vertical="center" wrapText="1"/>
    </xf>
    <xf numFmtId="0" fontId="50" fillId="0" borderId="29" xfId="2" applyFont="1" applyBorder="1" applyAlignment="1">
      <alignment horizontal="left" vertical="center" wrapText="1"/>
    </xf>
    <xf numFmtId="164" fontId="5" fillId="0" borderId="7" xfId="3" quotePrefix="1" applyFont="1" applyBorder="1" applyAlignment="1">
      <alignment horizontal="left" vertical="center" wrapText="1"/>
    </xf>
    <xf numFmtId="164" fontId="5" fillId="0" borderId="0" xfId="3" quotePrefix="1" applyFont="1" applyBorder="1" applyAlignment="1">
      <alignment horizontal="left" vertical="center" wrapText="1"/>
    </xf>
    <xf numFmtId="164" fontId="5" fillId="0" borderId="8" xfId="3" quotePrefix="1" applyFont="1" applyBorder="1" applyAlignment="1">
      <alignment horizontal="left" vertical="center" wrapText="1"/>
    </xf>
    <xf numFmtId="0" fontId="7" fillId="0" borderId="7" xfId="2" applyFont="1" applyBorder="1" applyAlignment="1">
      <alignment horizontal="left" vertical="center" wrapText="1"/>
    </xf>
    <xf numFmtId="0" fontId="7" fillId="0" borderId="0" xfId="2" applyFont="1" applyBorder="1" applyAlignment="1">
      <alignment horizontal="left" vertical="center" wrapText="1"/>
    </xf>
    <xf numFmtId="0" fontId="7" fillId="0" borderId="8" xfId="2" applyFont="1" applyBorder="1" applyAlignment="1">
      <alignment horizontal="left" vertical="center" wrapText="1"/>
    </xf>
    <xf numFmtId="0" fontId="59" fillId="0" borderId="30" xfId="2" applyFont="1" applyBorder="1" applyAlignment="1">
      <alignment horizontal="center"/>
    </xf>
    <xf numFmtId="0" fontId="59" fillId="0" borderId="31" xfId="2" applyFont="1" applyBorder="1" applyAlignment="1">
      <alignment horizontal="center"/>
    </xf>
    <xf numFmtId="0" fontId="59" fillId="0" borderId="32" xfId="2" applyFont="1" applyBorder="1" applyAlignment="1">
      <alignment horizontal="center"/>
    </xf>
    <xf numFmtId="0" fontId="29" fillId="0" borderId="0" xfId="2" applyFont="1" applyAlignment="1">
      <alignment horizontal="center"/>
    </xf>
    <xf numFmtId="0" fontId="59" fillId="0" borderId="30" xfId="2" applyFont="1" applyBorder="1" applyAlignment="1">
      <alignment horizontal="center" vertical="center" wrapText="1"/>
    </xf>
    <xf numFmtId="0" fontId="59" fillId="0" borderId="31" xfId="2" applyFont="1" applyBorder="1" applyAlignment="1">
      <alignment horizontal="center" vertical="center" wrapText="1"/>
    </xf>
    <xf numFmtId="0" fontId="59" fillId="0" borderId="32" xfId="2" applyFont="1" applyBorder="1" applyAlignment="1">
      <alignment horizontal="center" vertical="center" wrapText="1"/>
    </xf>
    <xf numFmtId="10" fontId="59" fillId="13" borderId="33" xfId="2" applyNumberFormat="1" applyFont="1" applyFill="1" applyBorder="1" applyAlignment="1" applyProtection="1">
      <alignment horizontal="center" vertical="center"/>
      <protection locked="0"/>
    </xf>
    <xf numFmtId="10" fontId="59" fillId="13" borderId="34" xfId="2" applyNumberFormat="1" applyFont="1" applyFill="1" applyBorder="1" applyAlignment="1" applyProtection="1">
      <alignment horizontal="center" vertical="center"/>
      <protection locked="0"/>
    </xf>
    <xf numFmtId="10" fontId="59" fillId="13" borderId="29" xfId="2" applyNumberFormat="1" applyFont="1" applyFill="1" applyBorder="1" applyAlignment="1" applyProtection="1">
      <alignment horizontal="center" vertical="center"/>
      <protection locked="0"/>
    </xf>
    <xf numFmtId="0" fontId="59" fillId="4" borderId="19" xfId="2" applyFont="1" applyFill="1" applyBorder="1" applyAlignment="1">
      <alignment horizontal="center"/>
    </xf>
    <xf numFmtId="0" fontId="59" fillId="4" borderId="1" xfId="2" applyFont="1" applyFill="1" applyBorder="1" applyAlignment="1">
      <alignment horizontal="center"/>
    </xf>
    <xf numFmtId="0" fontId="59" fillId="4" borderId="2" xfId="2" applyFont="1" applyFill="1" applyBorder="1" applyAlignment="1">
      <alignment horizontal="center"/>
    </xf>
    <xf numFmtId="4" fontId="59" fillId="4" borderId="21" xfId="2" applyNumberFormat="1" applyFont="1" applyFill="1" applyBorder="1" applyAlignment="1">
      <alignment horizontal="center"/>
    </xf>
    <xf numFmtId="4" fontId="59" fillId="4" borderId="5" xfId="2" applyNumberFormat="1" applyFont="1" applyFill="1" applyBorder="1" applyAlignment="1">
      <alignment horizontal="center"/>
    </xf>
    <xf numFmtId="4" fontId="59" fillId="4" borderId="6" xfId="2" applyNumberFormat="1" applyFont="1" applyFill="1" applyBorder="1" applyAlignment="1">
      <alignment horizontal="center"/>
    </xf>
    <xf numFmtId="165" fontId="59" fillId="10" borderId="24" xfId="6" applyNumberFormat="1" applyFont="1" applyFill="1" applyBorder="1" applyAlignment="1">
      <alignment horizontal="center" vertical="center"/>
    </xf>
    <xf numFmtId="165" fontId="59" fillId="10" borderId="4" xfId="6" applyNumberFormat="1" applyFont="1" applyFill="1" applyBorder="1" applyAlignment="1">
      <alignment horizontal="center" vertical="center"/>
    </xf>
    <xf numFmtId="0" fontId="29" fillId="0" borderId="12" xfId="2" applyFont="1" applyBorder="1" applyAlignment="1">
      <alignment horizontal="center"/>
    </xf>
    <xf numFmtId="4" fontId="59" fillId="0" borderId="33" xfId="2" applyNumberFormat="1" applyFont="1" applyBorder="1" applyAlignment="1">
      <alignment horizontal="center"/>
    </xf>
    <xf numFmtId="4" fontId="59" fillId="0" borderId="34" xfId="2" applyNumberFormat="1" applyFont="1" applyBorder="1" applyAlignment="1">
      <alignment horizontal="center"/>
    </xf>
    <xf numFmtId="4" fontId="59" fillId="0" borderId="29" xfId="2" applyNumberFormat="1" applyFont="1" applyBorder="1" applyAlignment="1">
      <alignment horizontal="center"/>
    </xf>
    <xf numFmtId="0" fontId="57" fillId="8" borderId="18" xfId="2" applyFont="1" applyFill="1" applyBorder="1" applyAlignment="1">
      <alignment horizontal="center" vertical="center"/>
    </xf>
    <xf numFmtId="0" fontId="57" fillId="8" borderId="22" xfId="2" applyFont="1" applyFill="1" applyBorder="1" applyAlignment="1">
      <alignment horizontal="center" vertical="center"/>
    </xf>
    <xf numFmtId="0" fontId="57" fillId="8" borderId="38" xfId="2" applyFont="1" applyFill="1" applyBorder="1" applyAlignment="1">
      <alignment horizontal="center" vertical="center"/>
    </xf>
    <xf numFmtId="0" fontId="57" fillId="8" borderId="23" xfId="2" applyFont="1" applyFill="1" applyBorder="1" applyAlignment="1">
      <alignment horizontal="center" vertical="center"/>
    </xf>
    <xf numFmtId="0" fontId="12" fillId="0" borderId="0" xfId="2" applyFont="1" applyAlignment="1">
      <alignment horizontal="center" wrapText="1"/>
    </xf>
    <xf numFmtId="0" fontId="12" fillId="8" borderId="30" xfId="2" applyFont="1" applyFill="1" applyBorder="1" applyAlignment="1">
      <alignment horizontal="center"/>
    </xf>
    <xf numFmtId="0" fontId="12" fillId="8" borderId="31" xfId="2" applyFont="1" applyFill="1" applyBorder="1" applyAlignment="1">
      <alignment horizontal="center"/>
    </xf>
    <xf numFmtId="0" fontId="12" fillId="8" borderId="32" xfId="2" applyFont="1" applyFill="1" applyBorder="1" applyAlignment="1">
      <alignment horizontal="center"/>
    </xf>
    <xf numFmtId="0" fontId="58" fillId="10" borderId="24" xfId="2" applyFont="1" applyFill="1" applyBorder="1" applyAlignment="1">
      <alignment horizontal="center" wrapText="1"/>
    </xf>
    <xf numFmtId="0" fontId="58" fillId="10" borderId="4" xfId="2" applyFont="1" applyFill="1" applyBorder="1" applyAlignment="1">
      <alignment horizontal="center" wrapText="1"/>
    </xf>
    <xf numFmtId="0" fontId="58" fillId="10" borderId="25" xfId="2" applyFont="1" applyFill="1" applyBorder="1" applyAlignment="1">
      <alignment horizontal="center" wrapText="1"/>
    </xf>
    <xf numFmtId="164" fontId="57" fillId="8" borderId="18" xfId="3" applyFont="1" applyFill="1" applyBorder="1" applyAlignment="1">
      <alignment horizontal="center" vertical="center"/>
    </xf>
    <xf numFmtId="164" fontId="12" fillId="0" borderId="26" xfId="3" applyFont="1" applyBorder="1" applyAlignment="1">
      <alignment horizontal="center"/>
    </xf>
    <xf numFmtId="164" fontId="12" fillId="0" borderId="27" xfId="3" applyFont="1" applyBorder="1" applyAlignment="1">
      <alignment horizontal="center"/>
    </xf>
    <xf numFmtId="0" fontId="12" fillId="0" borderId="26" xfId="2" applyFont="1" applyBorder="1" applyAlignment="1">
      <alignment horizontal="center" wrapText="1"/>
    </xf>
    <xf numFmtId="0" fontId="12" fillId="0" borderId="27" xfId="2" applyFont="1" applyBorder="1" applyAlignment="1">
      <alignment horizontal="center" wrapText="1"/>
    </xf>
    <xf numFmtId="0" fontId="12" fillId="0" borderId="0" xfId="2" applyFont="1" applyAlignment="1">
      <alignment horizontal="center"/>
    </xf>
    <xf numFmtId="2" fontId="12" fillId="0" borderId="0" xfId="2" applyNumberFormat="1" applyFont="1" applyAlignment="1">
      <alignment horizontal="center"/>
    </xf>
    <xf numFmtId="4" fontId="7" fillId="0" borderId="7" xfId="2" applyNumberFormat="1" applyFont="1" applyBorder="1" applyAlignment="1">
      <alignment horizontal="center" vertical="center"/>
    </xf>
    <xf numFmtId="164" fontId="7" fillId="0" borderId="36" xfId="3" applyFont="1" applyBorder="1" applyAlignment="1">
      <alignment horizontal="center" vertical="center"/>
    </xf>
    <xf numFmtId="164" fontId="7" fillId="0" borderId="37" xfId="3" applyFont="1" applyBorder="1" applyAlignment="1">
      <alignment horizontal="center" vertical="center"/>
    </xf>
    <xf numFmtId="164" fontId="5" fillId="0" borderId="30" xfId="3" applyFont="1" applyBorder="1" applyAlignment="1">
      <alignment horizontal="center" vertical="center"/>
    </xf>
    <xf numFmtId="164" fontId="5" fillId="0" borderId="7" xfId="3" applyFont="1" applyBorder="1" applyAlignment="1">
      <alignment horizontal="center" vertical="center"/>
    </xf>
    <xf numFmtId="164" fontId="5" fillId="0" borderId="33" xfId="3" applyFont="1" applyBorder="1" applyAlignment="1">
      <alignment horizontal="center" vertical="center"/>
    </xf>
    <xf numFmtId="0" fontId="57" fillId="8" borderId="18" xfId="2" applyFont="1" applyFill="1" applyBorder="1" applyAlignment="1">
      <alignment horizontal="center" vertical="center" wrapText="1"/>
    </xf>
    <xf numFmtId="0" fontId="12" fillId="8" borderId="33" xfId="2" applyFont="1" applyFill="1" applyBorder="1" applyAlignment="1">
      <alignment horizontal="center"/>
    </xf>
    <xf numFmtId="0" fontId="12" fillId="8" borderId="34" xfId="2" applyFont="1" applyFill="1" applyBorder="1" applyAlignment="1">
      <alignment horizontal="center"/>
    </xf>
    <xf numFmtId="0" fontId="12" fillId="8" borderId="29" xfId="2" applyFont="1" applyFill="1" applyBorder="1" applyAlignment="1">
      <alignment horizontal="center"/>
    </xf>
    <xf numFmtId="0" fontId="55" fillId="0" borderId="26" xfId="2" applyFont="1" applyBorder="1" applyAlignment="1">
      <alignment horizontal="center"/>
    </xf>
    <xf numFmtId="0" fontId="55" fillId="0" borderId="27" xfId="2" applyFont="1" applyBorder="1" applyAlignment="1">
      <alignment horizontal="center"/>
    </xf>
    <xf numFmtId="164" fontId="57" fillId="8" borderId="23" xfId="3" applyFont="1" applyFill="1" applyBorder="1" applyAlignment="1">
      <alignment horizontal="center" vertical="center"/>
    </xf>
    <xf numFmtId="0" fontId="12" fillId="0" borderId="0" xfId="2" applyFont="1" applyAlignment="1">
      <alignment horizontal="left" vertical="center" wrapText="1"/>
    </xf>
    <xf numFmtId="0" fontId="12" fillId="0" borderId="0" xfId="2" applyFont="1" applyAlignment="1">
      <alignment horizontal="left" vertical="center"/>
    </xf>
    <xf numFmtId="4" fontId="29" fillId="0" borderId="0" xfId="2" applyNumberFormat="1" applyFont="1" applyAlignment="1">
      <alignment horizontal="left" vertical="center" wrapText="1"/>
    </xf>
    <xf numFmtId="0" fontId="12" fillId="0" borderId="0" xfId="2" applyFont="1" applyAlignment="1">
      <alignment vertical="center" wrapText="1"/>
    </xf>
    <xf numFmtId="0" fontId="55" fillId="0" borderId="33" xfId="2" applyFont="1" applyBorder="1" applyAlignment="1">
      <alignment horizontal="center"/>
    </xf>
    <xf numFmtId="0" fontId="55" fillId="0" borderId="29" xfId="2" applyFont="1" applyBorder="1" applyAlignment="1">
      <alignment horizontal="center"/>
    </xf>
    <xf numFmtId="4" fontId="7" fillId="0" borderId="30" xfId="2" applyNumberFormat="1" applyFont="1" applyBorder="1" applyAlignment="1">
      <alignment horizontal="center" vertical="center"/>
    </xf>
    <xf numFmtId="0" fontId="52" fillId="8" borderId="24" xfId="2" applyFont="1" applyFill="1" applyBorder="1" applyAlignment="1">
      <alignment horizontal="center" vertical="center"/>
    </xf>
    <xf numFmtId="0" fontId="52" fillId="8" borderId="4" xfId="2" applyFont="1" applyFill="1" applyBorder="1" applyAlignment="1">
      <alignment horizontal="center" vertical="center"/>
    </xf>
    <xf numFmtId="0" fontId="52" fillId="8" borderId="25" xfId="2" applyFont="1" applyFill="1" applyBorder="1" applyAlignment="1">
      <alignment horizontal="center" vertical="center"/>
    </xf>
    <xf numFmtId="0" fontId="12" fillId="8" borderId="26" xfId="2" quotePrefix="1" applyFont="1" applyFill="1" applyBorder="1" applyAlignment="1">
      <alignment horizontal="center" vertical="center"/>
    </xf>
    <xf numFmtId="0" fontId="12" fillId="8" borderId="35" xfId="2" quotePrefix="1" applyFont="1" applyFill="1" applyBorder="1" applyAlignment="1">
      <alignment horizontal="center" vertical="center"/>
    </xf>
    <xf numFmtId="0" fontId="12" fillId="8" borderId="27" xfId="2" quotePrefix="1" applyFont="1" applyFill="1" applyBorder="1" applyAlignment="1">
      <alignment horizontal="center" vertical="center"/>
    </xf>
    <xf numFmtId="0" fontId="89" fillId="0" borderId="7" xfId="2" applyFont="1" applyBorder="1" applyAlignment="1">
      <alignment horizontal="left" vertical="center" wrapText="1"/>
    </xf>
    <xf numFmtId="0" fontId="89" fillId="0" borderId="0" xfId="2" applyFont="1" applyBorder="1" applyAlignment="1">
      <alignment horizontal="left" vertical="center" wrapText="1"/>
    </xf>
    <xf numFmtId="0" fontId="89" fillId="0" borderId="8" xfId="2" applyFont="1" applyBorder="1" applyAlignment="1">
      <alignment horizontal="left" vertical="center" wrapText="1"/>
    </xf>
    <xf numFmtId="164" fontId="12" fillId="0" borderId="7" xfId="3" applyFont="1" applyBorder="1" applyAlignment="1">
      <alignment horizontal="center" vertical="center"/>
    </xf>
    <xf numFmtId="164" fontId="12" fillId="0" borderId="0" xfId="3" applyFont="1" applyAlignment="1">
      <alignment horizontal="center" vertical="center"/>
    </xf>
    <xf numFmtId="0" fontId="12" fillId="11" borderId="9" xfId="2" applyFont="1" applyFill="1" applyBorder="1" applyAlignment="1">
      <alignment horizontal="center" vertical="center"/>
    </xf>
    <xf numFmtId="164" fontId="12" fillId="11" borderId="26" xfId="3" applyFont="1" applyFill="1" applyBorder="1" applyAlignment="1">
      <alignment horizontal="center" vertical="center"/>
    </xf>
    <xf numFmtId="164" fontId="12" fillId="11" borderId="35" xfId="3" applyFont="1" applyFill="1" applyBorder="1" applyAlignment="1">
      <alignment horizontal="center" vertical="center"/>
    </xf>
    <xf numFmtId="164" fontId="12" fillId="11" borderId="27" xfId="3" applyFont="1" applyFill="1" applyBorder="1" applyAlignment="1">
      <alignment horizontal="center" vertical="center"/>
    </xf>
    <xf numFmtId="164" fontId="42" fillId="0" borderId="35" xfId="3" applyFont="1" applyBorder="1" applyAlignment="1">
      <alignment horizontal="center" vertical="center"/>
    </xf>
    <xf numFmtId="164" fontId="42" fillId="0" borderId="27" xfId="3" applyFont="1" applyBorder="1" applyAlignment="1">
      <alignment horizontal="center" vertical="center"/>
    </xf>
    <xf numFmtId="0" fontId="12" fillId="8" borderId="30" xfId="2" applyFont="1" applyFill="1" applyBorder="1" applyAlignment="1">
      <alignment horizontal="center" vertical="center"/>
    </xf>
    <xf numFmtId="0" fontId="12" fillId="8" borderId="31" xfId="2" applyFont="1" applyFill="1" applyBorder="1" applyAlignment="1">
      <alignment horizontal="center" vertical="center"/>
    </xf>
    <xf numFmtId="0" fontId="12" fillId="8" borderId="32" xfId="2" applyFont="1" applyFill="1" applyBorder="1" applyAlignment="1">
      <alignment horizontal="center" vertical="center"/>
    </xf>
    <xf numFmtId="4" fontId="13" fillId="8" borderId="33" xfId="2" applyNumberFormat="1" applyFont="1" applyFill="1" applyBorder="1" applyAlignment="1">
      <alignment horizontal="center" vertical="center"/>
    </xf>
    <xf numFmtId="4" fontId="13" fillId="8" borderId="34" xfId="2" applyNumberFormat="1" applyFont="1" applyFill="1" applyBorder="1" applyAlignment="1">
      <alignment horizontal="center" vertical="center"/>
    </xf>
    <xf numFmtId="4" fontId="13" fillId="8" borderId="29" xfId="2" applyNumberFormat="1" applyFont="1" applyFill="1" applyBorder="1" applyAlignment="1">
      <alignment horizontal="center" vertical="center"/>
    </xf>
    <xf numFmtId="0" fontId="6" fillId="12" borderId="0" xfId="2" applyFont="1" applyFill="1" applyAlignment="1">
      <alignment horizontal="center" wrapText="1"/>
    </xf>
    <xf numFmtId="0" fontId="45" fillId="12" borderId="0" xfId="2" applyFont="1" applyFill="1" applyAlignment="1">
      <alignment horizontal="center"/>
    </xf>
    <xf numFmtId="3" fontId="47" fillId="0" borderId="0" xfId="3" applyNumberFormat="1" applyFont="1" applyAlignment="1">
      <alignment horizontal="center"/>
    </xf>
    <xf numFmtId="0" fontId="6" fillId="0" borderId="7" xfId="2" quotePrefix="1" applyFont="1" applyBorder="1" applyAlignment="1">
      <alignment horizontal="left" vertical="center" wrapText="1"/>
    </xf>
    <xf numFmtId="0" fontId="6" fillId="0" borderId="0" xfId="2" quotePrefix="1" applyFont="1" applyBorder="1" applyAlignment="1">
      <alignment horizontal="left" vertical="center" wrapText="1"/>
    </xf>
    <xf numFmtId="0" fontId="6" fillId="0" borderId="8" xfId="2" quotePrefix="1" applyFont="1" applyBorder="1" applyAlignment="1">
      <alignment horizontal="left" vertical="center" wrapText="1"/>
    </xf>
    <xf numFmtId="0" fontId="6" fillId="0" borderId="7" xfId="2" applyFont="1" applyBorder="1" applyAlignment="1">
      <alignment horizontal="left" vertical="center" wrapText="1"/>
    </xf>
    <xf numFmtId="0" fontId="6" fillId="0" borderId="0" xfId="2" applyFont="1" applyBorder="1" applyAlignment="1">
      <alignment horizontal="left" vertical="center" wrapText="1"/>
    </xf>
    <xf numFmtId="0" fontId="6" fillId="0" borderId="8" xfId="2" applyFont="1" applyBorder="1" applyAlignment="1">
      <alignment horizontal="left" vertical="center" wrapText="1"/>
    </xf>
    <xf numFmtId="4" fontId="12" fillId="8" borderId="33" xfId="2" applyNumberFormat="1" applyFont="1" applyFill="1" applyBorder="1" applyAlignment="1">
      <alignment horizontal="center"/>
    </xf>
    <xf numFmtId="4" fontId="12" fillId="8" borderId="34" xfId="2" applyNumberFormat="1" applyFont="1" applyFill="1" applyBorder="1" applyAlignment="1">
      <alignment horizontal="center"/>
    </xf>
    <xf numFmtId="4" fontId="12" fillId="8" borderId="29" xfId="2" applyNumberFormat="1" applyFont="1" applyFill="1" applyBorder="1" applyAlignment="1">
      <alignment horizontal="center"/>
    </xf>
    <xf numFmtId="0" fontId="25" fillId="8" borderId="11" xfId="2" applyFont="1" applyFill="1" applyBorder="1" applyAlignment="1">
      <alignment horizontal="center" vertical="center" wrapText="1"/>
    </xf>
    <xf numFmtId="0" fontId="25" fillId="8" borderId="12" xfId="2" applyFont="1" applyFill="1" applyBorder="1" applyAlignment="1">
      <alignment horizontal="center" vertical="center" wrapText="1"/>
    </xf>
    <xf numFmtId="0" fontId="25" fillId="8" borderId="13" xfId="2" applyFont="1" applyFill="1" applyBorder="1" applyAlignment="1">
      <alignment horizontal="center" vertical="center" wrapText="1"/>
    </xf>
    <xf numFmtId="0" fontId="25" fillId="8" borderId="14" xfId="2" applyFont="1" applyFill="1" applyBorder="1" applyAlignment="1">
      <alignment horizontal="center" vertical="center" wrapText="1"/>
    </xf>
    <xf numFmtId="0" fontId="25" fillId="8" borderId="0" xfId="2" applyFont="1" applyFill="1" applyBorder="1" applyAlignment="1">
      <alignment horizontal="center" vertical="center" wrapText="1"/>
    </xf>
    <xf numFmtId="0" fontId="25" fillId="8" borderId="10" xfId="2" applyFont="1" applyFill="1" applyBorder="1" applyAlignment="1">
      <alignment horizontal="center" vertical="center" wrapText="1"/>
    </xf>
    <xf numFmtId="0" fontId="25" fillId="8" borderId="15" xfId="2" applyFont="1" applyFill="1" applyBorder="1" applyAlignment="1">
      <alignment horizontal="center" vertical="center" wrapText="1"/>
    </xf>
    <xf numFmtId="0" fontId="25" fillId="8" borderId="16" xfId="2" applyFont="1" applyFill="1" applyBorder="1" applyAlignment="1">
      <alignment horizontal="center" vertical="center" wrapText="1"/>
    </xf>
    <xf numFmtId="0" fontId="25" fillId="8" borderId="17" xfId="2" applyFont="1" applyFill="1" applyBorder="1" applyAlignment="1">
      <alignment horizontal="center" vertical="center" wrapText="1"/>
    </xf>
    <xf numFmtId="2" fontId="27" fillId="0" borderId="0" xfId="2" applyNumberFormat="1" applyFont="1" applyAlignment="1">
      <alignment horizontal="right"/>
    </xf>
    <xf numFmtId="2" fontId="12" fillId="0" borderId="0" xfId="2" applyNumberFormat="1" applyFont="1" applyAlignment="1">
      <alignment horizontal="right"/>
    </xf>
    <xf numFmtId="2" fontId="29" fillId="0" borderId="0" xfId="2" applyNumberFormat="1" applyFont="1" applyAlignment="1">
      <alignment horizontal="left"/>
    </xf>
    <xf numFmtId="0" fontId="38" fillId="8" borderId="24" xfId="2" applyFont="1" applyFill="1" applyBorder="1" applyAlignment="1">
      <alignment horizontal="center" vertical="center"/>
    </xf>
    <xf numFmtId="0" fontId="38" fillId="8" borderId="4" xfId="2" applyFont="1" applyFill="1" applyBorder="1" applyAlignment="1">
      <alignment horizontal="center" vertical="center"/>
    </xf>
    <xf numFmtId="0" fontId="38" fillId="8" borderId="25" xfId="2" applyFont="1" applyFill="1" applyBorder="1" applyAlignment="1">
      <alignment horizontal="center" vertical="center"/>
    </xf>
    <xf numFmtId="0" fontId="12" fillId="0" borderId="26" xfId="2" applyFont="1" applyBorder="1" applyAlignment="1">
      <alignment horizontal="center" vertical="center" wrapText="1"/>
    </xf>
    <xf numFmtId="0" fontId="12" fillId="0" borderId="27" xfId="2" applyFont="1" applyBorder="1" applyAlignment="1">
      <alignment horizontal="center" vertical="center" wrapText="1"/>
    </xf>
    <xf numFmtId="0" fontId="12" fillId="10" borderId="30" xfId="2" applyFont="1" applyFill="1" applyBorder="1" applyAlignment="1">
      <alignment horizontal="center"/>
    </xf>
    <xf numFmtId="0" fontId="12" fillId="10" borderId="31" xfId="2" applyFont="1" applyFill="1" applyBorder="1" applyAlignment="1">
      <alignment horizontal="center"/>
    </xf>
    <xf numFmtId="0" fontId="12" fillId="10" borderId="32" xfId="2" applyFont="1" applyFill="1" applyBorder="1" applyAlignment="1">
      <alignment horizontal="center"/>
    </xf>
    <xf numFmtId="0" fontId="12" fillId="10" borderId="33" xfId="2" applyFont="1" applyFill="1" applyBorder="1" applyAlignment="1">
      <alignment horizontal="center"/>
    </xf>
    <xf numFmtId="0" fontId="12" fillId="10" borderId="34" xfId="2" applyFont="1" applyFill="1" applyBorder="1" applyAlignment="1">
      <alignment horizontal="center"/>
    </xf>
    <xf numFmtId="0" fontId="12" fillId="10" borderId="29" xfId="2" applyFont="1" applyFill="1" applyBorder="1" applyAlignment="1">
      <alignment horizontal="center"/>
    </xf>
    <xf numFmtId="165" fontId="12" fillId="10" borderId="33" xfId="2" applyNumberFormat="1" applyFont="1" applyFill="1" applyBorder="1" applyAlignment="1">
      <alignment horizontal="center" vertical="center"/>
    </xf>
    <xf numFmtId="0" fontId="12" fillId="10" borderId="34" xfId="2" applyFont="1" applyFill="1" applyBorder="1" applyAlignment="1">
      <alignment horizontal="center" vertical="center"/>
    </xf>
    <xf numFmtId="0" fontId="12" fillId="10" borderId="29" xfId="2" applyFont="1" applyFill="1" applyBorder="1" applyAlignment="1">
      <alignment horizontal="center" vertical="center"/>
    </xf>
    <xf numFmtId="168" fontId="0" fillId="0" borderId="0" xfId="0" applyNumberFormat="1" applyAlignment="1">
      <alignment horizontal="left"/>
    </xf>
    <xf numFmtId="0" fontId="12" fillId="17" borderId="0" xfId="0" applyFont="1" applyFill="1" applyAlignment="1" applyProtection="1">
      <alignment horizontal="left" shrinkToFit="1"/>
      <protection locked="0"/>
    </xf>
    <xf numFmtId="169" fontId="12" fillId="0" borderId="0" xfId="0" applyNumberFormat="1" applyFont="1" applyFill="1" applyAlignment="1">
      <alignment horizontal="center" shrinkToFit="1"/>
    </xf>
    <xf numFmtId="0" fontId="74" fillId="15" borderId="54" xfId="0" applyFont="1" applyFill="1" applyBorder="1" applyAlignment="1">
      <alignment horizontal="center"/>
    </xf>
    <xf numFmtId="0" fontId="74" fillId="15" borderId="55" xfId="0" applyFont="1" applyFill="1" applyBorder="1" applyAlignment="1">
      <alignment horizontal="center"/>
    </xf>
    <xf numFmtId="0" fontId="74" fillId="15" borderId="56" xfId="0" applyFont="1" applyFill="1" applyBorder="1" applyAlignment="1">
      <alignment horizontal="center"/>
    </xf>
    <xf numFmtId="14" fontId="12" fillId="0" borderId="0" xfId="0" applyNumberFormat="1" applyFont="1" applyFill="1" applyAlignment="1">
      <alignment horizontal="center"/>
    </xf>
    <xf numFmtId="0" fontId="12" fillId="17" borderId="0" xfId="0" applyFont="1" applyFill="1" applyAlignment="1">
      <alignment horizontal="center" shrinkToFit="1"/>
    </xf>
    <xf numFmtId="0" fontId="12" fillId="17" borderId="0" xfId="0" applyFont="1" applyFill="1" applyBorder="1" applyAlignment="1">
      <alignment shrinkToFit="1"/>
    </xf>
    <xf numFmtId="0" fontId="12" fillId="0" borderId="0" xfId="0" applyFont="1" applyFill="1" applyAlignment="1">
      <alignment horizontal="center" shrinkToFit="1"/>
    </xf>
    <xf numFmtId="0" fontId="0" fillId="0" borderId="0" xfId="0" applyAlignment="1">
      <alignment horizontal="center"/>
    </xf>
    <xf numFmtId="14" fontId="12" fillId="0" borderId="0" xfId="0" applyNumberFormat="1" applyFont="1" applyFill="1" applyAlignment="1">
      <alignment horizontal="center" shrinkToFit="1"/>
    </xf>
    <xf numFmtId="0" fontId="0" fillId="0" borderId="0" xfId="0" applyAlignment="1">
      <alignment horizontal="left"/>
    </xf>
    <xf numFmtId="0" fontId="12" fillId="0" borderId="0" xfId="0" applyFont="1" applyFill="1" applyAlignment="1">
      <alignment horizontal="left" shrinkToFit="1"/>
    </xf>
    <xf numFmtId="0" fontId="74" fillId="15" borderId="22" xfId="0" applyFont="1" applyFill="1" applyBorder="1" applyAlignment="1">
      <alignment horizontal="center"/>
    </xf>
    <xf numFmtId="0" fontId="74" fillId="15" borderId="38" xfId="0" applyFont="1" applyFill="1" applyBorder="1" applyAlignment="1">
      <alignment horizontal="center"/>
    </xf>
    <xf numFmtId="0" fontId="74" fillId="15" borderId="23" xfId="0" applyFont="1" applyFill="1" applyBorder="1" applyAlignment="1">
      <alignment horizontal="center"/>
    </xf>
    <xf numFmtId="14" fontId="12" fillId="0" borderId="0" xfId="0" applyNumberFormat="1" applyFont="1" applyFill="1" applyAlignment="1">
      <alignment horizontal="left"/>
    </xf>
    <xf numFmtId="0" fontId="0" fillId="17" borderId="0" xfId="0" applyFill="1" applyAlignment="1" applyProtection="1">
      <alignment horizontal="left" shrinkToFit="1"/>
      <protection locked="0"/>
    </xf>
    <xf numFmtId="14" fontId="12" fillId="0" borderId="0" xfId="0" applyNumberFormat="1" applyFont="1" applyFill="1" applyAlignment="1">
      <alignment horizontal="left" shrinkToFit="1"/>
    </xf>
    <xf numFmtId="0" fontId="0" fillId="0" borderId="0" xfId="0" applyAlignment="1">
      <alignment horizontal="left" wrapText="1"/>
    </xf>
    <xf numFmtId="167" fontId="12" fillId="17" borderId="0" xfId="0" applyNumberFormat="1" applyFont="1" applyFill="1" applyAlignment="1">
      <alignment horizontal="left" shrinkToFit="1"/>
    </xf>
    <xf numFmtId="0" fontId="12" fillId="17" borderId="0" xfId="0" applyFont="1" applyFill="1" applyBorder="1" applyAlignment="1">
      <alignment horizontal="center" shrinkToFit="1"/>
    </xf>
    <xf numFmtId="0" fontId="79" fillId="12" borderId="24" xfId="12" applyFont="1" applyFill="1" applyBorder="1" applyAlignment="1">
      <alignment horizontal="center"/>
    </xf>
    <xf numFmtId="0" fontId="79" fillId="12" borderId="4" xfId="12" applyFont="1" applyFill="1" applyBorder="1" applyAlignment="1">
      <alignment horizontal="center"/>
    </xf>
    <xf numFmtId="0" fontId="79" fillId="12" borderId="25" xfId="12" applyFont="1" applyFill="1" applyBorder="1" applyAlignment="1">
      <alignment horizontal="center"/>
    </xf>
    <xf numFmtId="0" fontId="87" fillId="4" borderId="24" xfId="0" applyFont="1" applyFill="1" applyBorder="1" applyAlignment="1">
      <alignment horizontal="center" vertical="top" wrapText="1"/>
    </xf>
    <xf numFmtId="0" fontId="87" fillId="4" borderId="4" xfId="0" applyFont="1" applyFill="1" applyBorder="1" applyAlignment="1">
      <alignment horizontal="center" vertical="top" wrapText="1"/>
    </xf>
  </cellXfs>
  <cellStyles count="14">
    <cellStyle name="Euro" xfId="4" xr:uid="{23504680-139D-45EB-95FC-E6624E783344}"/>
    <cellStyle name="Euro 2" xfId="5" xr:uid="{F7EC75D4-D232-4B53-B135-9DA36F763BE1}"/>
    <cellStyle name="Excel Built-in Normal" xfId="1" xr:uid="{BBB1C31E-B3F5-48A9-9292-384E904187A0}"/>
    <cellStyle name="Lien hypertexte" xfId="8" builtinId="8"/>
    <cellStyle name="Lien hypertexte 2" xfId="10" xr:uid="{4D3FCB64-997F-4BAE-9C68-4374A926FE42}"/>
    <cellStyle name="Milliers 2" xfId="3" xr:uid="{20C6C75B-C1D1-41E1-B6BF-F4F70ABB28ED}"/>
    <cellStyle name="Milliers 2 2" xfId="6" xr:uid="{38467D49-7C50-4FBB-A45D-A58AADD1E8A3}"/>
    <cellStyle name="Normal" xfId="0" builtinId="0"/>
    <cellStyle name="Normal 2" xfId="2" xr:uid="{87A39E9E-9827-4999-A6E3-3088FE7B79A3}"/>
    <cellStyle name="Normal 3" xfId="7" xr:uid="{197DEF82-9562-43ED-A3DC-7F70A3FAAB81}"/>
    <cellStyle name="Normal 3 2" xfId="11" xr:uid="{1C90A45B-FBF6-4E45-96E7-F6426205D237}"/>
    <cellStyle name="Normal 3 3" xfId="12" xr:uid="{50657F61-41FC-454A-9E4A-FBA08F6CC214}"/>
    <cellStyle name="Normal 5" xfId="9" xr:uid="{83A32AB1-2E1C-4EE5-8218-EA7DC8E8F4B3}"/>
    <cellStyle name="Normal 8" xfId="13" xr:uid="{7713CD79-A237-4006-8AA0-4DF6EB07BDBD}"/>
  </cellStyles>
  <dxfs count="12">
    <dxf>
      <font>
        <b/>
        <i val="0"/>
        <color rgb="FFFF0000"/>
      </font>
    </dxf>
    <dxf>
      <font>
        <color rgb="FFFF0000"/>
      </font>
    </dxf>
    <dxf>
      <font>
        <color theme="0"/>
      </font>
      <fill>
        <patternFill>
          <fgColor theme="0"/>
          <bgColor theme="0"/>
        </patternFill>
      </fill>
    </dxf>
    <dxf>
      <font>
        <color theme="0"/>
      </font>
      <fill>
        <patternFill>
          <fgColor theme="0"/>
          <bgColor theme="0"/>
        </patternFill>
      </fill>
      <border>
        <left/>
        <right/>
        <top/>
        <bottom/>
      </border>
    </dxf>
    <dxf>
      <fill>
        <patternFill>
          <bgColor theme="0"/>
        </patternFill>
      </fill>
      <border>
        <vertical/>
        <horizontal/>
      </border>
    </dxf>
    <dxf>
      <font>
        <color rgb="FFFFFFFF"/>
      </font>
    </dxf>
    <dxf>
      <font>
        <color theme="0"/>
      </font>
      <fill>
        <patternFill>
          <bgColor theme="0"/>
        </patternFill>
      </fill>
      <border>
        <left/>
        <right/>
        <top/>
        <bottom/>
        <vertical/>
        <horizontal/>
      </border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ont>
        <color auto="1"/>
      </font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18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1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externalLink" Target="externalLinks/externalLink1.xml"/><Relationship Id="rId19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eetMetadata" Target="metadata.xml"/></Relationships>
</file>

<file path=xl/ctrlProps/ctrlProp1.xml><?xml version="1.0" encoding="utf-8"?>
<formControlPr xmlns="http://schemas.microsoft.com/office/spreadsheetml/2009/9/main" objectType="Radio" firstButton="1" fmlaLink="$B$2" lockText="1" noThreeD="1"/>
</file>

<file path=xl/ctrlProps/ctrlProp2.xml><?xml version="1.0" encoding="utf-8"?>
<formControlPr xmlns="http://schemas.microsoft.com/office/spreadsheetml/2009/9/main" objectType="Radio" checked="Checked" lockText="1" noThreeD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Radio" checked="Checked" firstButton="1" fmlaLink="$A$6" lockText="1" noThreeD="1"/>
</file>

<file path=xl/ctrlProps/ctrlProp5.xml><?xml version="1.0" encoding="utf-8"?>
<formControlPr xmlns="http://schemas.microsoft.com/office/spreadsheetml/2009/9/main" objectType="Radio" lockText="1" noThreeD="1"/>
</file>

<file path=xl/ctrlProps/ctrlProp6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9.jpeg"/><Relationship Id="rId3" Type="http://schemas.openxmlformats.org/officeDocument/2006/relationships/image" Target="../media/image4.jpeg"/><Relationship Id="rId7" Type="http://schemas.openxmlformats.org/officeDocument/2006/relationships/image" Target="../media/image8.jpeg"/><Relationship Id="rId2" Type="http://schemas.openxmlformats.org/officeDocument/2006/relationships/image" Target="../media/image3.jpeg"/><Relationship Id="rId1" Type="http://schemas.openxmlformats.org/officeDocument/2006/relationships/image" Target="../media/image2.jpeg"/><Relationship Id="rId6" Type="http://schemas.openxmlformats.org/officeDocument/2006/relationships/image" Target="../media/image7.jpeg"/><Relationship Id="rId5" Type="http://schemas.openxmlformats.org/officeDocument/2006/relationships/image" Target="../media/image6.jpeg"/><Relationship Id="rId4" Type="http://schemas.openxmlformats.org/officeDocument/2006/relationships/image" Target="../media/image5.jpe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1.jpeg"/><Relationship Id="rId1" Type="http://schemas.openxmlformats.org/officeDocument/2006/relationships/image" Target="../media/image10.jpe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0.jpe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5619750</xdr:colOff>
      <xdr:row>0</xdr:row>
      <xdr:rowOff>27214</xdr:rowOff>
    </xdr:from>
    <xdr:to>
      <xdr:col>3</xdr:col>
      <xdr:colOff>6334121</xdr:colOff>
      <xdr:row>2</xdr:row>
      <xdr:rowOff>27214</xdr:rowOff>
    </xdr:to>
    <xdr:pic macro="[0]!Renseignements">
      <xdr:nvPicPr>
        <xdr:cNvPr id="2" name="Imag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r="1815" b="14286"/>
        <a:stretch/>
      </xdr:blipFill>
      <xdr:spPr>
        <a:xfrm>
          <a:off x="16900071" y="27214"/>
          <a:ext cx="714371" cy="66675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11</xdr:col>
      <xdr:colOff>0</xdr:colOff>
      <xdr:row>0</xdr:row>
      <xdr:rowOff>0</xdr:rowOff>
    </xdr:from>
    <xdr:to>
      <xdr:col>11</xdr:col>
      <xdr:colOff>535779</xdr:colOff>
      <xdr:row>3</xdr:row>
      <xdr:rowOff>14288</xdr:rowOff>
    </xdr:to>
    <xdr:pic macro="[0]!Renseignements">
      <xdr:nvPicPr>
        <xdr:cNvPr id="2" name="Imag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r="1815" b="14286"/>
        <a:stretch/>
      </xdr:blipFill>
      <xdr:spPr>
        <a:xfrm>
          <a:off x="8382000" y="0"/>
          <a:ext cx="535779" cy="500063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571500</xdr:colOff>
      <xdr:row>65</xdr:row>
      <xdr:rowOff>0</xdr:rowOff>
    </xdr:from>
    <xdr:ext cx="184731" cy="264560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 txBox="1"/>
      </xdr:nvSpPr>
      <xdr:spPr>
        <a:xfrm>
          <a:off x="7839075" y="390525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0</xdr:row>
          <xdr:rowOff>85725</xdr:rowOff>
        </xdr:from>
        <xdr:to>
          <xdr:col>1</xdr:col>
          <xdr:colOff>1857375</xdr:colOff>
          <xdr:row>1</xdr:row>
          <xdr:rowOff>180975</xdr:rowOff>
        </xdr:to>
        <xdr:sp macro="" textlink="">
          <xdr:nvSpPr>
            <xdr:cNvPr id="1080" name="Option Button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2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81FFCC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ESTIMATION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352425</xdr:colOff>
          <xdr:row>2</xdr:row>
          <xdr:rowOff>19050</xdr:rowOff>
        </xdr:from>
        <xdr:to>
          <xdr:col>1</xdr:col>
          <xdr:colOff>1866900</xdr:colOff>
          <xdr:row>3</xdr:row>
          <xdr:rowOff>123825</xdr:rowOff>
        </xdr:to>
        <xdr:sp macro="" textlink="">
          <xdr:nvSpPr>
            <xdr:cNvPr id="1081" name="Option Button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2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5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SOLDE DE TOUT COMPTE</a:t>
              </a:r>
            </a:p>
          </xdr:txBody>
        </xdr:sp>
        <xdr:clientData/>
      </xdr:twoCellAnchor>
    </mc:Choice>
    <mc:Fallback/>
  </mc:AlternateContent>
  <xdr:oneCellAnchor>
    <xdr:from>
      <xdr:col>5</xdr:col>
      <xdr:colOff>571500</xdr:colOff>
      <xdr:row>65</xdr:row>
      <xdr:rowOff>0</xdr:rowOff>
    </xdr:from>
    <xdr:ext cx="184731" cy="264560"/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00000000-0008-0000-0200-000007000000}"/>
            </a:ext>
          </a:extLst>
        </xdr:cNvPr>
        <xdr:cNvSpPr txBox="1"/>
      </xdr:nvSpPr>
      <xdr:spPr>
        <a:xfrm>
          <a:off x="10287000" y="5448300"/>
          <a:ext cx="184731" cy="264560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wrap="none" rtlCol="0" anchor="t">
          <a:spAutoFit/>
        </a:bodyPr>
        <a:lstStyle/>
        <a:p>
          <a:endParaRPr lang="fr-FR" sz="1100"/>
        </a:p>
      </xdr:txBody>
    </xdr:sp>
    <xdr:clientData/>
  </xdr:oneCellAnchor>
  <xdr:twoCellAnchor editAs="oneCell">
    <xdr:from>
      <xdr:col>5</xdr:col>
      <xdr:colOff>142876</xdr:colOff>
      <xdr:row>3</xdr:row>
      <xdr:rowOff>11908</xdr:rowOff>
    </xdr:from>
    <xdr:to>
      <xdr:col>5</xdr:col>
      <xdr:colOff>583408</xdr:colOff>
      <xdr:row>4</xdr:row>
      <xdr:rowOff>47627</xdr:rowOff>
    </xdr:to>
    <xdr:pic macro="[0]!ComboImpression">
      <xdr:nvPicPr>
        <xdr:cNvPr id="46" name="Image 45">
          <a:extLst>
            <a:ext uri="{FF2B5EF4-FFF2-40B4-BE49-F238E27FC236}">
              <a16:creationId xmlns:a16="http://schemas.microsoft.com/office/drawing/2014/main" id="{00000000-0008-0000-0200-00002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17970" y="631033"/>
          <a:ext cx="440532" cy="440532"/>
        </a:xfrm>
        <a:prstGeom prst="rect">
          <a:avLst/>
        </a:prstGeom>
      </xdr:spPr>
    </xdr:pic>
    <xdr:clientData/>
  </xdr:twoCellAnchor>
  <xdr:twoCellAnchor editAs="oneCell">
    <xdr:from>
      <xdr:col>5</xdr:col>
      <xdr:colOff>142873</xdr:colOff>
      <xdr:row>14</xdr:row>
      <xdr:rowOff>190499</xdr:rowOff>
    </xdr:from>
    <xdr:to>
      <xdr:col>5</xdr:col>
      <xdr:colOff>597692</xdr:colOff>
      <xdr:row>16</xdr:row>
      <xdr:rowOff>69147</xdr:rowOff>
    </xdr:to>
    <xdr:pic macro="[0]!Envoyer_Mail_Outlook">
      <xdr:nvPicPr>
        <xdr:cNvPr id="11" name="Image 10">
          <a:extLst>
            <a:ext uri="{FF2B5EF4-FFF2-40B4-BE49-F238E27FC236}">
              <a16:creationId xmlns:a16="http://schemas.microsoft.com/office/drawing/2014/main" id="{00000000-0008-0000-02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98904" y="3083718"/>
          <a:ext cx="454819" cy="283461"/>
        </a:xfrm>
        <a:prstGeom prst="rect">
          <a:avLst/>
        </a:prstGeom>
      </xdr:spPr>
    </xdr:pic>
    <xdr:clientData/>
  </xdr:twoCellAnchor>
  <xdr:twoCellAnchor editAs="oneCell">
    <xdr:from>
      <xdr:col>5</xdr:col>
      <xdr:colOff>119063</xdr:colOff>
      <xdr:row>9</xdr:row>
      <xdr:rowOff>23814</xdr:rowOff>
    </xdr:from>
    <xdr:to>
      <xdr:col>5</xdr:col>
      <xdr:colOff>607219</xdr:colOff>
      <xdr:row>11</xdr:row>
      <xdr:rowOff>176380</xdr:rowOff>
    </xdr:to>
    <xdr:pic macro="[0]!DSN">
      <xdr:nvPicPr>
        <xdr:cNvPr id="15" name="Image 14">
          <a:extLst>
            <a:ext uri="{FF2B5EF4-FFF2-40B4-BE49-F238E27FC236}">
              <a16:creationId xmlns:a16="http://schemas.microsoft.com/office/drawing/2014/main" id="{00000000-0008-0000-0200-00000F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75094" y="1916908"/>
          <a:ext cx="488156" cy="533566"/>
        </a:xfrm>
        <a:prstGeom prst="rect">
          <a:avLst/>
        </a:prstGeom>
      </xdr:spPr>
    </xdr:pic>
    <xdr:clientData/>
  </xdr:twoCellAnchor>
  <xdr:twoCellAnchor editAs="oneCell">
    <xdr:from>
      <xdr:col>5</xdr:col>
      <xdr:colOff>95251</xdr:colOff>
      <xdr:row>12</xdr:row>
      <xdr:rowOff>47625</xdr:rowOff>
    </xdr:from>
    <xdr:to>
      <xdr:col>5</xdr:col>
      <xdr:colOff>626052</xdr:colOff>
      <xdr:row>14</xdr:row>
      <xdr:rowOff>35719</xdr:rowOff>
    </xdr:to>
    <xdr:pic macro="[0]!CalculCP">
      <xdr:nvPicPr>
        <xdr:cNvPr id="17" name="Image 16">
          <a:extLst>
            <a:ext uri="{FF2B5EF4-FFF2-40B4-BE49-F238E27FC236}">
              <a16:creationId xmlns:a16="http://schemas.microsoft.com/office/drawing/2014/main" id="{00000000-0008-0000-0200-00001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251282" y="2524125"/>
          <a:ext cx="530801" cy="404813"/>
        </a:xfrm>
        <a:prstGeom prst="rect">
          <a:avLst/>
        </a:prstGeom>
      </xdr:spPr>
    </xdr:pic>
    <xdr:clientData/>
  </xdr:twoCellAnchor>
  <xdr:twoCellAnchor editAs="oneCell">
    <xdr:from>
      <xdr:col>22</xdr:col>
      <xdr:colOff>250032</xdr:colOff>
      <xdr:row>0</xdr:row>
      <xdr:rowOff>83346</xdr:rowOff>
    </xdr:from>
    <xdr:to>
      <xdr:col>22</xdr:col>
      <xdr:colOff>654843</xdr:colOff>
      <xdr:row>2</xdr:row>
      <xdr:rowOff>71438</xdr:rowOff>
    </xdr:to>
    <xdr:pic macro="[0]!Modop">
      <xdr:nvPicPr>
        <xdr:cNvPr id="19" name="Image 18" descr="Mode Opératoire">
          <a:extLst>
            <a:ext uri="{FF2B5EF4-FFF2-40B4-BE49-F238E27FC236}">
              <a16:creationId xmlns:a16="http://schemas.microsoft.com/office/drawing/2014/main" id="{00000000-0008-0000-02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77626" y="83346"/>
          <a:ext cx="404811" cy="404811"/>
        </a:xfrm>
        <a:prstGeom prst="rect">
          <a:avLst/>
        </a:prstGeom>
      </xdr:spPr>
    </xdr:pic>
    <xdr:clientData/>
  </xdr:twoCellAnchor>
  <xdr:twoCellAnchor editAs="oneCell">
    <xdr:from>
      <xdr:col>5</xdr:col>
      <xdr:colOff>154782</xdr:colOff>
      <xdr:row>4</xdr:row>
      <xdr:rowOff>95249</xdr:rowOff>
    </xdr:from>
    <xdr:to>
      <xdr:col>5</xdr:col>
      <xdr:colOff>619125</xdr:colOff>
      <xdr:row>6</xdr:row>
      <xdr:rowOff>107155</xdr:rowOff>
    </xdr:to>
    <xdr:pic macro="[0]!Courriers">
      <xdr:nvPicPr>
        <xdr:cNvPr id="21" name="Image 20">
          <a:extLst>
            <a:ext uri="{FF2B5EF4-FFF2-40B4-BE49-F238E27FC236}">
              <a16:creationId xmlns:a16="http://schemas.microsoft.com/office/drawing/2014/main" id="{00000000-0008-0000-02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29876" y="1119187"/>
          <a:ext cx="464343" cy="464343"/>
        </a:xfrm>
        <a:prstGeom prst="rect">
          <a:avLst/>
        </a:prstGeom>
      </xdr:spPr>
    </xdr:pic>
    <xdr:clientData/>
  </xdr:twoCellAnchor>
  <xdr:twoCellAnchor editAs="oneCell">
    <xdr:from>
      <xdr:col>5</xdr:col>
      <xdr:colOff>47627</xdr:colOff>
      <xdr:row>6</xdr:row>
      <xdr:rowOff>175647</xdr:rowOff>
    </xdr:from>
    <xdr:to>
      <xdr:col>20</xdr:col>
      <xdr:colOff>17546</xdr:colOff>
      <xdr:row>8</xdr:row>
      <xdr:rowOff>86290</xdr:rowOff>
    </xdr:to>
    <xdr:pic macro="[0]!INDEMNITES">
      <xdr:nvPicPr>
        <xdr:cNvPr id="5" name="Image 4"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10203658" y="1449616"/>
          <a:ext cx="684294" cy="327362"/>
        </a:xfrm>
        <a:prstGeom prst="rect">
          <a:avLst/>
        </a:prstGeom>
      </xdr:spPr>
    </xdr:pic>
    <xdr:clientData/>
  </xdr:twoCellAnchor>
  <xdr:twoCellAnchor editAs="oneCell">
    <xdr:from>
      <xdr:col>5</xdr:col>
      <xdr:colOff>107155</xdr:colOff>
      <xdr:row>0</xdr:row>
      <xdr:rowOff>83343</xdr:rowOff>
    </xdr:from>
    <xdr:to>
      <xdr:col>5</xdr:col>
      <xdr:colOff>631030</xdr:colOff>
      <xdr:row>2</xdr:row>
      <xdr:rowOff>57515</xdr:rowOff>
    </xdr:to>
    <xdr:pic macro="[0]!CCN">
      <xdr:nvPicPr>
        <xdr:cNvPr id="8" name="Image 7">
          <a:extLst>
            <a:ext uri="{FF2B5EF4-FFF2-40B4-BE49-F238E27FC236}">
              <a16:creationId xmlns:a16="http://schemas.microsoft.com/office/drawing/2014/main" id="{00000000-0008-0000-0200-00000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382249" y="83343"/>
          <a:ext cx="523875" cy="390891"/>
        </a:xfrm>
        <a:prstGeom prst="rect">
          <a:avLst/>
        </a:prstGeom>
      </xdr:spPr>
    </xdr:pic>
    <xdr:clientData/>
  </xdr:twoCellAnchor>
  <xdr:twoCellAnchor>
    <xdr:from>
      <xdr:col>4</xdr:col>
      <xdr:colOff>821531</xdr:colOff>
      <xdr:row>2</xdr:row>
      <xdr:rowOff>107156</xdr:rowOff>
    </xdr:from>
    <xdr:to>
      <xdr:col>23</xdr:col>
      <xdr:colOff>440531</xdr:colOff>
      <xdr:row>5</xdr:row>
      <xdr:rowOff>11906</xdr:rowOff>
    </xdr:to>
    <xdr:sp macro="" textlink="">
      <xdr:nvSpPr>
        <xdr:cNvPr id="3" name="Ellips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/>
      </xdr:nvSpPr>
      <xdr:spPr>
        <a:xfrm>
          <a:off x="10144125" y="523875"/>
          <a:ext cx="4405312" cy="726281"/>
        </a:xfrm>
        <a:prstGeom prst="ellipse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228600</xdr:colOff>
          <xdr:row>160</xdr:row>
          <xdr:rowOff>142875</xdr:rowOff>
        </xdr:from>
        <xdr:to>
          <xdr:col>8</xdr:col>
          <xdr:colOff>1571625</xdr:colOff>
          <xdr:row>163</xdr:row>
          <xdr:rowOff>123825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3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0</xdr:colOff>
      <xdr:row>24</xdr:row>
      <xdr:rowOff>0</xdr:rowOff>
    </xdr:from>
    <xdr:to>
      <xdr:col>2</xdr:col>
      <xdr:colOff>0</xdr:colOff>
      <xdr:row>25</xdr:row>
      <xdr:rowOff>0</xdr:rowOff>
    </xdr:to>
    <xdr:sp macro="[0]!Feuil51.DemasqueTP" textlink="">
      <xdr:nvSpPr>
        <xdr:cNvPr id="9" name="Rectangle 8">
          <a:extLst>
            <a:ext uri="{FF2B5EF4-FFF2-40B4-BE49-F238E27FC236}">
              <a16:creationId xmlns:a16="http://schemas.microsoft.com/office/drawing/2014/main" id="{00000000-0008-0000-0300-000009000000}"/>
            </a:ext>
          </a:extLst>
        </xdr:cNvPr>
        <xdr:cNvSpPr/>
      </xdr:nvSpPr>
      <xdr:spPr>
        <a:xfrm>
          <a:off x="2447925" y="4772025"/>
          <a:ext cx="1457325" cy="190500"/>
        </a:xfrm>
        <a:prstGeom prst="rect">
          <a:avLst/>
        </a:prstGeom>
        <a:solidFill>
          <a:schemeClr val="bg2">
            <a:lumMod val="90000"/>
          </a:schemeClr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bg2">
                  <a:lumMod val="25000"/>
                </a:schemeClr>
              </a:solidFill>
              <a:effectLst>
                <a:outerShdw blurRad="50800" dist="50800" dir="5400000" sx="5000" sy="5000" algn="ctr" rotWithShape="0">
                  <a:srgbClr val="000000">
                    <a:alpha val="43137"/>
                  </a:srgbClr>
                </a:outerShdw>
              </a:effectLst>
            </a:rPr>
            <a:t>ANNEXE</a:t>
          </a:r>
        </a:p>
      </xdr:txBody>
    </xdr:sp>
    <xdr:clientData/>
  </xdr:twoCellAnchor>
  <xdr:twoCellAnchor>
    <xdr:from>
      <xdr:col>2</xdr:col>
      <xdr:colOff>59530</xdr:colOff>
      <xdr:row>24</xdr:row>
      <xdr:rowOff>59531</xdr:rowOff>
    </xdr:from>
    <xdr:to>
      <xdr:col>2</xdr:col>
      <xdr:colOff>476248</xdr:colOff>
      <xdr:row>25</xdr:row>
      <xdr:rowOff>0</xdr:rowOff>
    </xdr:to>
    <xdr:sp macro="" textlink="">
      <xdr:nvSpPr>
        <xdr:cNvPr id="10" name="Flèche : droite rayée 9">
          <a:extLst>
            <a:ext uri="{FF2B5EF4-FFF2-40B4-BE49-F238E27FC236}">
              <a16:creationId xmlns:a16="http://schemas.microsoft.com/office/drawing/2014/main" id="{00000000-0008-0000-0300-00000A000000}"/>
            </a:ext>
          </a:extLst>
        </xdr:cNvPr>
        <xdr:cNvSpPr/>
      </xdr:nvSpPr>
      <xdr:spPr>
        <a:xfrm rot="10800000">
          <a:off x="3964780" y="4831556"/>
          <a:ext cx="416718" cy="130969"/>
        </a:xfrm>
        <a:prstGeom prst="striped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66675</xdr:colOff>
          <xdr:row>4</xdr:row>
          <xdr:rowOff>85725</xdr:rowOff>
        </xdr:from>
        <xdr:to>
          <xdr:col>0</xdr:col>
          <xdr:colOff>1990725</xdr:colOff>
          <xdr:row>5</xdr:row>
          <xdr:rowOff>180975</xdr:rowOff>
        </xdr:to>
        <xdr:sp macro="" textlink="">
          <xdr:nvSpPr>
            <xdr:cNvPr id="3080" name="Option 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3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81FFCC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LICENCIEMENT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57150</xdr:colOff>
          <xdr:row>6</xdr:row>
          <xdr:rowOff>28575</xdr:rowOff>
        </xdr:from>
        <xdr:to>
          <xdr:col>0</xdr:col>
          <xdr:colOff>2009775</xdr:colOff>
          <xdr:row>8</xdr:row>
          <xdr:rowOff>9525</xdr:rowOff>
        </xdr:to>
        <xdr:sp macro="" textlink="">
          <xdr:nvSpPr>
            <xdr:cNvPr id="3081" name="Option Button 9" hidden="1">
              <a:extLst>
                <a:ext uri="{63B3BB69-23CF-44E3-9099-C40C66FF867C}">
                  <a14:compatExt spid="_x0000_s3081"/>
                </a:ext>
                <a:ext uri="{FF2B5EF4-FFF2-40B4-BE49-F238E27FC236}">
                  <a16:creationId xmlns:a16="http://schemas.microsoft.com/office/drawing/2014/main" id="{00000000-0008-0000-0300-000009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solidFill>
              <a:srgbClr val="D5FFFF"/>
            </a:solidFill>
            <a:ln>
              <a:noFill/>
            </a:ln>
            <a:extLs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RUPTURE CONVENTIONNELLE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161925</xdr:colOff>
          <xdr:row>115</xdr:row>
          <xdr:rowOff>95250</xdr:rowOff>
        </xdr:from>
        <xdr:to>
          <xdr:col>10</xdr:col>
          <xdr:colOff>723900</xdr:colOff>
          <xdr:row>118</xdr:row>
          <xdr:rowOff>0</xdr:rowOff>
        </xdr:to>
        <xdr:sp macro="" textlink="">
          <xdr:nvSpPr>
            <xdr:cNvPr id="3082" name="Button 10" hidden="1">
              <a:extLst>
                <a:ext uri="{63B3BB69-23CF-44E3-9099-C40C66FF867C}">
                  <a14:compatExt spid="_x0000_s3082"/>
                </a:ext>
                <a:ext uri="{FF2B5EF4-FFF2-40B4-BE49-F238E27FC236}">
                  <a16:creationId xmlns:a16="http://schemas.microsoft.com/office/drawing/2014/main" id="{00000000-0008-0000-0300-00000A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9966"/>
                  </a:solidFill>
                  <a:latin typeface="Calibri"/>
                  <a:cs typeface="Calibri"/>
                </a:rPr>
                <a:t>Retour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83344</xdr:colOff>
      <xdr:row>73</xdr:row>
      <xdr:rowOff>166687</xdr:rowOff>
    </xdr:from>
    <xdr:to>
      <xdr:col>3</xdr:col>
      <xdr:colOff>1273969</xdr:colOff>
      <xdr:row>75</xdr:row>
      <xdr:rowOff>35719</xdr:rowOff>
    </xdr:to>
    <xdr:sp macro="[0]!Fiscal" textlink="">
      <xdr:nvSpPr>
        <xdr:cNvPr id="15" name="Rectangle 14">
          <a:extLst>
            <a:ext uri="{FF2B5EF4-FFF2-40B4-BE49-F238E27FC236}">
              <a16:creationId xmlns:a16="http://schemas.microsoft.com/office/drawing/2014/main" id="{00000000-0008-0000-0300-00000F000000}"/>
            </a:ext>
          </a:extLst>
        </xdr:cNvPr>
        <xdr:cNvSpPr/>
      </xdr:nvSpPr>
      <xdr:spPr>
        <a:xfrm>
          <a:off x="2531269" y="14606587"/>
          <a:ext cx="3714750" cy="250032"/>
        </a:xfrm>
        <a:prstGeom prst="rect">
          <a:avLst/>
        </a:prstGeom>
        <a:solidFill>
          <a:schemeClr val="bg2">
            <a:lumMod val="90000"/>
          </a:schemeClr>
        </a:solidFill>
        <a:ln>
          <a:solidFill>
            <a:schemeClr val="accent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 b="1">
              <a:solidFill>
                <a:schemeClr val="bg2">
                  <a:lumMod val="25000"/>
                </a:schemeClr>
              </a:solidFill>
              <a:effectLst>
                <a:outerShdw blurRad="50800" dist="50800" dir="5400000" sx="5000" sy="5000" algn="ctr" rotWithShape="0">
                  <a:srgbClr val="000000">
                    <a:alpha val="43137"/>
                  </a:srgbClr>
                </a:outerShdw>
              </a:effectLst>
            </a:rPr>
            <a:t>TRAITEMENT SOCIAL ET FISCAL</a:t>
          </a:r>
        </a:p>
      </xdr:txBody>
    </xdr:sp>
    <xdr:clientData/>
  </xdr:twoCellAnchor>
  <xdr:twoCellAnchor>
    <xdr:from>
      <xdr:col>3</xdr:col>
      <xdr:colOff>1357313</xdr:colOff>
      <xdr:row>74</xdr:row>
      <xdr:rowOff>59531</xdr:rowOff>
    </xdr:from>
    <xdr:to>
      <xdr:col>3</xdr:col>
      <xdr:colOff>1774031</xdr:colOff>
      <xdr:row>75</xdr:row>
      <xdr:rowOff>0</xdr:rowOff>
    </xdr:to>
    <xdr:sp macro="" textlink="">
      <xdr:nvSpPr>
        <xdr:cNvPr id="16" name="Flèche : droite rayée 15">
          <a:extLst>
            <a:ext uri="{FF2B5EF4-FFF2-40B4-BE49-F238E27FC236}">
              <a16:creationId xmlns:a16="http://schemas.microsoft.com/office/drawing/2014/main" id="{00000000-0008-0000-0300-000010000000}"/>
            </a:ext>
          </a:extLst>
        </xdr:cNvPr>
        <xdr:cNvSpPr/>
      </xdr:nvSpPr>
      <xdr:spPr>
        <a:xfrm rot="10800000">
          <a:off x="6329363" y="14689931"/>
          <a:ext cx="416718" cy="130969"/>
        </a:xfrm>
        <a:prstGeom prst="stripedRightArrow">
          <a:avLst/>
        </a:prstGeom>
        <a:solidFill>
          <a:srgbClr val="FF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endParaRPr lang="fr-FR"/>
        </a:p>
      </xdr:txBody>
    </xdr:sp>
    <xdr:clientData/>
  </xdr:twoCellAnchor>
  <xdr:twoCellAnchor editAs="oneCell">
    <xdr:from>
      <xdr:col>10</xdr:col>
      <xdr:colOff>95252</xdr:colOff>
      <xdr:row>0</xdr:row>
      <xdr:rowOff>35718</xdr:rowOff>
    </xdr:from>
    <xdr:to>
      <xdr:col>10</xdr:col>
      <xdr:colOff>631031</xdr:colOff>
      <xdr:row>2</xdr:row>
      <xdr:rowOff>154781</xdr:rowOff>
    </xdr:to>
    <xdr:pic macro="[0]!Renseignements">
      <xdr:nvPicPr>
        <xdr:cNvPr id="3" name="Imag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r="1815" b="14286"/>
        <a:stretch/>
      </xdr:blipFill>
      <xdr:spPr>
        <a:xfrm>
          <a:off x="13966033" y="35718"/>
          <a:ext cx="535779" cy="500063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361950</xdr:colOff>
      <xdr:row>0</xdr:row>
      <xdr:rowOff>28575</xdr:rowOff>
    </xdr:from>
    <xdr:to>
      <xdr:col>8</xdr:col>
      <xdr:colOff>239483</xdr:colOff>
      <xdr:row>2</xdr:row>
      <xdr:rowOff>123825</xdr:rowOff>
    </xdr:to>
    <xdr:pic macro="[0]!Renseignements">
      <xdr:nvPicPr>
        <xdr:cNvPr id="21" name="Image 20">
          <a:extLst>
            <a:ext uri="{FF2B5EF4-FFF2-40B4-BE49-F238E27FC236}">
              <a16:creationId xmlns:a16="http://schemas.microsoft.com/office/drawing/2014/main" id="{00000000-0008-0000-0400-000015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r="1815" b="14286"/>
        <a:stretch/>
      </xdr:blipFill>
      <xdr:spPr>
        <a:xfrm>
          <a:off x="6267450" y="28575"/>
          <a:ext cx="449033" cy="419100"/>
        </a:xfrm>
        <a:prstGeom prst="rect">
          <a:avLst/>
        </a:prstGeom>
      </xdr:spPr>
    </xdr:pic>
    <xdr:clientData/>
  </xdr:twoCellAnchor>
  <xdr:twoCellAnchor editAs="oneCell">
    <xdr:from>
      <xdr:col>7</xdr:col>
      <xdr:colOff>57151</xdr:colOff>
      <xdr:row>0</xdr:row>
      <xdr:rowOff>57151</xdr:rowOff>
    </xdr:from>
    <xdr:to>
      <xdr:col>7</xdr:col>
      <xdr:colOff>438151</xdr:colOff>
      <xdr:row>2</xdr:row>
      <xdr:rowOff>114301</xdr:rowOff>
    </xdr:to>
    <xdr:pic macro="[0]!SaisieCourrier">
      <xdr:nvPicPr>
        <xdr:cNvPr id="23" name="Image 22">
          <a:extLst>
            <a:ext uri="{FF2B5EF4-FFF2-40B4-BE49-F238E27FC236}">
              <a16:creationId xmlns:a16="http://schemas.microsoft.com/office/drawing/2014/main" id="{00000000-0008-0000-04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962651" y="57151"/>
          <a:ext cx="381000" cy="3810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161925</xdr:colOff>
      <xdr:row>0</xdr:row>
      <xdr:rowOff>38100</xdr:rowOff>
    </xdr:from>
    <xdr:to>
      <xdr:col>7</xdr:col>
      <xdr:colOff>314325</xdr:colOff>
      <xdr:row>2</xdr:row>
      <xdr:rowOff>47625</xdr:rowOff>
    </xdr:to>
    <xdr:sp macro="[0]!Feuil6.ImporteDonnees" textlink="">
      <xdr:nvSpPr>
        <xdr:cNvPr id="3" name="Rectangle à coins arrondis 12">
          <a:extLst>
            <a:ext uri="{FF2B5EF4-FFF2-40B4-BE49-F238E27FC236}">
              <a16:creationId xmlns:a16="http://schemas.microsoft.com/office/drawing/2014/main" id="{00000000-0008-0000-0500-000003000000}"/>
            </a:ext>
          </a:extLst>
        </xdr:cNvPr>
        <xdr:cNvSpPr/>
      </xdr:nvSpPr>
      <xdr:spPr>
        <a:xfrm>
          <a:off x="7505700" y="38100"/>
          <a:ext cx="1676400" cy="5619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Intégration les montants  du</a:t>
          </a:r>
          <a:r>
            <a:rPr lang="fr-FR" sz="1100" baseline="0"/>
            <a:t> fichier DSN</a:t>
          </a:r>
          <a:endParaRPr lang="fr-FR" sz="1100"/>
        </a:p>
      </xdr:txBody>
    </xdr:sp>
    <xdr:clientData/>
  </xdr:twoCellAnchor>
  <xdr:twoCellAnchor editAs="oneCell">
    <xdr:from>
      <xdr:col>7</xdr:col>
      <xdr:colOff>390525</xdr:colOff>
      <xdr:row>0</xdr:row>
      <xdr:rowOff>47624</xdr:rowOff>
    </xdr:from>
    <xdr:to>
      <xdr:col>7</xdr:col>
      <xdr:colOff>933450</xdr:colOff>
      <xdr:row>2</xdr:row>
      <xdr:rowOff>1907</xdr:rowOff>
    </xdr:to>
    <xdr:pic macro="[0]!Renseignements">
      <xdr:nvPicPr>
        <xdr:cNvPr id="6" name="Image 5">
          <a:extLst>
            <a:ext uri="{FF2B5EF4-FFF2-40B4-BE49-F238E27FC236}">
              <a16:creationId xmlns:a16="http://schemas.microsoft.com/office/drawing/2014/main" id="{00000000-0008-0000-0500-000006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r="1815" b="14286"/>
        <a:stretch/>
      </xdr:blipFill>
      <xdr:spPr>
        <a:xfrm>
          <a:off x="9258300" y="47624"/>
          <a:ext cx="542925" cy="506733"/>
        </a:xfrm>
        <a:prstGeom prst="rect">
          <a:avLst/>
        </a:prstGeom>
      </xdr:spPr>
    </xdr:pic>
    <xdr:clientData/>
  </xdr:twoCellAnchor>
  <xdr:twoCellAnchor>
    <xdr:from>
      <xdr:col>5</xdr:col>
      <xdr:colOff>152400</xdr:colOff>
      <xdr:row>2</xdr:row>
      <xdr:rowOff>114300</xdr:rowOff>
    </xdr:from>
    <xdr:to>
      <xdr:col>7</xdr:col>
      <xdr:colOff>304800</xdr:colOff>
      <xdr:row>3</xdr:row>
      <xdr:rowOff>114300</xdr:rowOff>
    </xdr:to>
    <xdr:sp macro="[0]!Feuil6.efface" textlink="">
      <xdr:nvSpPr>
        <xdr:cNvPr id="8" name="Rectangle à coins arrondis 9">
          <a:extLst>
            <a:ext uri="{FF2B5EF4-FFF2-40B4-BE49-F238E27FC236}">
              <a16:creationId xmlns:a16="http://schemas.microsoft.com/office/drawing/2014/main" id="{00000000-0008-0000-0500-000008000000}"/>
            </a:ext>
          </a:extLst>
        </xdr:cNvPr>
        <xdr:cNvSpPr/>
      </xdr:nvSpPr>
      <xdr:spPr>
        <a:xfrm>
          <a:off x="7496175" y="666750"/>
          <a:ext cx="1676400" cy="561975"/>
        </a:xfrm>
        <a:prstGeom prst="roundRect">
          <a:avLst/>
        </a:prstGeom>
      </xdr:spPr>
      <xdr:style>
        <a:lnRef idx="0">
          <a:schemeClr val="accent2"/>
        </a:lnRef>
        <a:fillRef idx="3">
          <a:schemeClr val="accent2"/>
        </a:fillRef>
        <a:effectRef idx="3">
          <a:schemeClr val="accent2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Effacer</a:t>
          </a:r>
          <a:r>
            <a:rPr lang="fr-FR" sz="1100" baseline="0"/>
            <a:t> les données</a:t>
          </a:r>
          <a:endParaRPr lang="fr-FR" sz="1100"/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47625</xdr:colOff>
      <xdr:row>0</xdr:row>
      <xdr:rowOff>0</xdr:rowOff>
    </xdr:from>
    <xdr:to>
      <xdr:col>10</xdr:col>
      <xdr:colOff>583404</xdr:colOff>
      <xdr:row>2</xdr:row>
      <xdr:rowOff>119063</xdr:rowOff>
    </xdr:to>
    <xdr:pic macro="[0]!Renseignements">
      <xdr:nvPicPr>
        <xdr:cNvPr id="2" name="Image 1">
          <a:extLst>
            <a:ext uri="{FF2B5EF4-FFF2-40B4-BE49-F238E27FC236}">
              <a16:creationId xmlns:a16="http://schemas.microsoft.com/office/drawing/2014/main" id="{00000000-0008-0000-06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r="1815" b="14286"/>
        <a:stretch/>
      </xdr:blipFill>
      <xdr:spPr>
        <a:xfrm>
          <a:off x="7277100" y="0"/>
          <a:ext cx="535779" cy="500063"/>
        </a:xfrm>
        <a:prstGeom prst="rect">
          <a:avLst/>
        </a:prstGeom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186820</xdr:colOff>
      <xdr:row>8</xdr:row>
      <xdr:rowOff>21723</xdr:rowOff>
    </xdr:from>
    <xdr:ext cx="8562975" cy="2559552"/>
    <xdr:sp macro="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700-000002000000}"/>
            </a:ext>
          </a:extLst>
        </xdr:cNvPr>
        <xdr:cNvSpPr/>
      </xdr:nvSpPr>
      <xdr:spPr>
        <a:xfrm rot="20558015">
          <a:off x="186820" y="1545723"/>
          <a:ext cx="8562975" cy="2559552"/>
        </a:xfrm>
        <a:prstGeom prst="rect">
          <a:avLst/>
        </a:prstGeom>
        <a:noFill/>
      </xdr:spPr>
      <xdr:txBody>
        <a:bodyPr wrap="none" lIns="91440" tIns="45720" rIns="91440" bIns="45720">
          <a:noAutofit/>
        </a:bodyPr>
        <a:lstStyle/>
        <a:p>
          <a:pPr algn="ctr"/>
          <a:r>
            <a:rPr lang="fr-FR" sz="5400" b="1" cap="none" spc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Matrice</a:t>
          </a:r>
          <a:r>
            <a:rPr lang="fr-FR" sz="5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 de calcul en fonction </a:t>
          </a:r>
        </a:p>
        <a:p>
          <a:pPr algn="ctr"/>
          <a:r>
            <a:rPr lang="fr-FR" sz="5400" b="1" cap="none" spc="0" baseline="0">
              <a:ln w="9525">
                <a:solidFill>
                  <a:schemeClr val="bg1"/>
                </a:solidFill>
                <a:prstDash val="solid"/>
              </a:ln>
              <a:solidFill>
                <a:schemeClr val="accent5"/>
              </a:solidFill>
              <a:effectLst>
                <a:outerShdw blurRad="12700" dist="38100" dir="2700000" algn="tl" rotWithShape="0">
                  <a:schemeClr val="accent5">
                    <a:lumMod val="60000"/>
                    <a:lumOff val="40000"/>
                  </a:schemeClr>
                </a:outerShdw>
              </a:effectLst>
            </a:rPr>
            <a:t>des 3 méthodes ES</a:t>
          </a:r>
          <a:endParaRPr lang="fr-FR" sz="5400" b="1" cap="none" spc="0">
            <a:ln w="9525">
              <a:solidFill>
                <a:schemeClr val="bg1"/>
              </a:solidFill>
              <a:prstDash val="solid"/>
            </a:ln>
            <a:solidFill>
              <a:schemeClr val="accent5"/>
            </a:solidFill>
            <a:effectLst>
              <a:outerShdw blurRad="12700" dist="38100" dir="2700000" algn="tl" rotWithShape="0">
                <a:schemeClr val="accent5">
                  <a:lumMod val="60000"/>
                  <a:lumOff val="40000"/>
                </a:schemeClr>
              </a:outerShdw>
            </a:effectLst>
          </a:endParaRP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752475</xdr:colOff>
      <xdr:row>0</xdr:row>
      <xdr:rowOff>0</xdr:rowOff>
    </xdr:from>
    <xdr:to>
      <xdr:col>8</xdr:col>
      <xdr:colOff>526254</xdr:colOff>
      <xdr:row>2</xdr:row>
      <xdr:rowOff>119063</xdr:rowOff>
    </xdr:to>
    <xdr:pic macro="[0]!Renseignements">
      <xdr:nvPicPr>
        <xdr:cNvPr id="2" name="Image 1"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" r="1815" b="14286"/>
        <a:stretch/>
      </xdr:blipFill>
      <xdr:spPr>
        <a:xfrm>
          <a:off x="6086475" y="0"/>
          <a:ext cx="535779" cy="500063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GP1259/AppData/Local/Microsoft/Windows/INetCache/Content.Outlook/DOQRG08J/MAQUETTE%20STC%20LYON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ode opératoire"/>
      <sheetName val="Check list STC"/>
      <sheetName val="Réalisation STC"/>
      <sheetName val="Check list STC SEMI AUTO "/>
      <sheetName val="Calcul CP ouvrés"/>
      <sheetName val="Calcul CP ouvrables"/>
      <sheetName val="Calcul CP calendaires"/>
      <sheetName val="13M"/>
      <sheetName val="feuille de calcul"/>
      <sheetName val="IMPACT PRIME"/>
      <sheetName val="Résultat STC"/>
      <sheetName val="Valorisation Mobilité"/>
      <sheetName val="Mode opératoire maquette FILLON"/>
      <sheetName val="FILLON 2019 HORS APPRENTI"/>
      <sheetName val="FILLON 2019 APPRENTI"/>
      <sheetName val="Rub des HS"/>
      <sheetName val="portabilité"/>
      <sheetName val="Jours Congés"/>
      <sheetName val="Feuil2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>
        <row r="1">
          <cell r="B1" t="str">
            <v>ouvré</v>
          </cell>
          <cell r="D1" t="str">
            <v>X</v>
          </cell>
        </row>
        <row r="2">
          <cell r="B2" t="str">
            <v>ouvrable</v>
          </cell>
        </row>
        <row r="3">
          <cell r="B3" t="str">
            <v>calendaire</v>
          </cell>
        </row>
      </sheetData>
      <sheetData sheetId="18">
        <row r="1">
          <cell r="A1" t="str">
            <v>Rupture CDD d'un commun accord</v>
          </cell>
        </row>
        <row r="2">
          <cell r="A2" t="str">
            <v>Fin CDD</v>
          </cell>
        </row>
        <row r="3">
          <cell r="A3" t="str">
            <v>Transaction</v>
          </cell>
        </row>
        <row r="4">
          <cell r="A4" t="str">
            <v>Licenciement</v>
          </cell>
        </row>
        <row r="5">
          <cell r="A5" t="str">
            <v>remboursement Porta</v>
          </cell>
        </row>
        <row r="6">
          <cell r="A6" t="str">
            <v>Départ à la retraite</v>
          </cell>
        </row>
        <row r="7">
          <cell r="A7" t="str">
            <v>Rupture conventionnelle</v>
          </cell>
        </row>
        <row r="8">
          <cell r="A8" t="str">
            <v>Lic faute grave</v>
          </cell>
        </row>
        <row r="9">
          <cell r="A9" t="str">
            <v>Lic faute lourde</v>
          </cell>
        </row>
        <row r="10">
          <cell r="A10" t="str">
            <v>Lic individuelle</v>
          </cell>
        </row>
        <row r="11">
          <cell r="A11" t="str">
            <v>Démission</v>
          </cell>
        </row>
        <row r="12">
          <cell r="A12" t="str">
            <v>Fin période essai init sal</v>
          </cell>
        </row>
        <row r="13">
          <cell r="A13" t="str">
            <v>Fin période essai init empl</v>
          </cell>
        </row>
        <row r="14">
          <cell r="A14" t="str">
            <v>Mutation</v>
          </cell>
        </row>
        <row r="15">
          <cell r="A15" t="str">
            <v>Fin Stage</v>
          </cell>
        </row>
        <row r="16">
          <cell r="A16" t="str">
            <v>complément STC</v>
          </cell>
        </row>
        <row r="17">
          <cell r="A17" t="str">
            <v>Perte de Marché</v>
          </cell>
        </row>
        <row r="18">
          <cell r="A18" t="str">
            <v>Décès</v>
          </cell>
        </row>
        <row r="19">
          <cell r="A19" t="str">
            <v>Lic inaptitude non pro</v>
          </cell>
        </row>
        <row r="20">
          <cell r="A20" t="str">
            <v>Lic inaptitude  pro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7" Type="http://schemas.openxmlformats.org/officeDocument/2006/relationships/ctrlProp" Target="../ctrlProps/ctrlProp6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5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77A44B-336B-4472-8453-99C598291423}">
  <sheetPr codeName="Feuil5">
    <tabColor rgb="FF00B050"/>
  </sheetPr>
  <dimension ref="A1:D25"/>
  <sheetViews>
    <sheetView zoomScale="70" zoomScaleNormal="70" workbookViewId="0"/>
  </sheetViews>
  <sheetFormatPr baseColWidth="10" defaultRowHeight="15"/>
  <cols>
    <col min="1" max="1" width="40" style="341" bestFit="1" customWidth="1"/>
    <col min="2" max="2" width="64.7109375" style="341" bestFit="1" customWidth="1"/>
    <col min="3" max="3" width="64.42578125" style="341" bestFit="1" customWidth="1"/>
    <col min="4" max="4" width="96.42578125" style="341" customWidth="1"/>
    <col min="5" max="16384" width="11.42578125" style="341"/>
  </cols>
  <sheetData>
    <row r="1" spans="1:4" s="338" customFormat="1" ht="37.5" customHeight="1">
      <c r="A1" s="336" t="s">
        <v>243</v>
      </c>
      <c r="B1" s="337" t="s">
        <v>244</v>
      </c>
      <c r="C1" s="337" t="s">
        <v>245</v>
      </c>
      <c r="D1" s="337" t="s">
        <v>246</v>
      </c>
    </row>
    <row r="2" spans="1:4">
      <c r="A2" s="339" t="s">
        <v>22</v>
      </c>
      <c r="B2" s="340" t="s">
        <v>62</v>
      </c>
      <c r="C2" s="340" t="s">
        <v>66</v>
      </c>
      <c r="D2" s="372" t="e" cm="1">
        <f t="array" ref="D2">IF(AND('Feuille Calcul Indemnités'!$F$16&gt;=2,'Feuille Calcul Indemnités'!$F$16&lt;=10),'Feuille Calcul Indemnités'!$F$16*('Feuille Calcul Indemnités'!$E$45:$G$45/10*3),IF('Feuille Calcul Indemnités'!$F$16&gt;10,10*('Feuille Calcul Indemnités'!$E$45:$G$45/10*3),0))</f>
        <v>#VALUE!</v>
      </c>
    </row>
    <row r="3" spans="1:4">
      <c r="A3" s="339" t="s">
        <v>22</v>
      </c>
      <c r="B3" s="340" t="s">
        <v>64</v>
      </c>
      <c r="C3" s="340" t="s">
        <v>67</v>
      </c>
      <c r="D3" s="372" t="e" cm="1">
        <f t="array" ref="D3">IF('Feuille Calcul Indemnités'!$F$16&lt;=10,0,(('Feuille Calcul Indemnités'!$F$16-10)*6/10*'Feuille Calcul Indemnités'!$E$45:$G$45))</f>
        <v>#VALUE!</v>
      </c>
    </row>
    <row r="4" spans="1:4">
      <c r="A4" s="339" t="s">
        <v>22</v>
      </c>
      <c r="B4" s="342" t="s">
        <v>70</v>
      </c>
      <c r="C4" s="342" t="s">
        <v>70</v>
      </c>
      <c r="D4" s="372" t="e">
        <f>IF(AND('Feuille Calcul Indemnités'!$B$23&gt;55,'Feuille Calcul Indemnités'!$B$23&lt;65),(SUM(CritèresConventionsCollectives!$D$2:$D$3)*10/100),0)</f>
        <v>#VALUE!</v>
      </c>
    </row>
    <row r="5" spans="1:4">
      <c r="A5" s="343" t="s">
        <v>21</v>
      </c>
      <c r="B5" s="344" t="s">
        <v>247</v>
      </c>
      <c r="C5" s="344" t="s">
        <v>248</v>
      </c>
      <c r="D5" s="373" t="e" cm="1">
        <f t="array" ref="D5">IF(AND('Feuille Calcul Indemnités'!$F$16&gt;=2,'Feuille Calcul Indemnités'!$F$16&lt;=15),'Feuille Calcul Indemnités'!$F$16*('Feuille Calcul Indemnités'!$E$45:$G$45/10*2.5),IF('Feuille Calcul Indemnités'!$F$16&gt;15,15*('Feuille Calcul Indemnités'!$E$45:$G$45/10*2.5),0))</f>
        <v>#VALUE!</v>
      </c>
    </row>
    <row r="6" spans="1:4">
      <c r="A6" s="343" t="s">
        <v>21</v>
      </c>
      <c r="B6" s="344" t="s">
        <v>249</v>
      </c>
      <c r="C6" s="344" t="s">
        <v>250</v>
      </c>
      <c r="D6" s="373" t="e" cm="1">
        <f t="array" ref="D6">IF('Feuille Calcul Indemnités'!$F$16&lt;=15,0,(('Feuille Calcul Indemnités'!$F$16-15)*3.5/10*'Feuille Calcul Indemnités'!$E$45:$G$45))</f>
        <v>#VALUE!</v>
      </c>
    </row>
    <row r="7" spans="1:4">
      <c r="A7" s="343" t="s">
        <v>21</v>
      </c>
      <c r="B7" s="344" t="s">
        <v>251</v>
      </c>
      <c r="C7" s="344" t="s">
        <v>70</v>
      </c>
      <c r="D7" s="374" t="e">
        <f>IF(AND('Feuille Calcul Indemnités'!$B$23&gt;55,'Feuille Calcul Indemnités'!$B$23&lt;65),(SUM(CritèresConventionsCollectives!$D$5:$D$6)*10/100),0)</f>
        <v>#VALUE!</v>
      </c>
    </row>
    <row r="8" spans="1:4">
      <c r="A8" s="345" t="s">
        <v>20</v>
      </c>
      <c r="B8" s="346" t="s">
        <v>252</v>
      </c>
      <c r="C8" s="346"/>
      <c r="D8" s="350"/>
    </row>
    <row r="9" spans="1:4">
      <c r="A9" s="345" t="s">
        <v>20</v>
      </c>
      <c r="B9" s="346" t="s">
        <v>253</v>
      </c>
      <c r="C9" s="346"/>
      <c r="D9" s="350"/>
    </row>
    <row r="10" spans="1:4">
      <c r="A10" s="345" t="s">
        <v>20</v>
      </c>
      <c r="B10" s="346" t="s">
        <v>254</v>
      </c>
      <c r="C10" s="346"/>
      <c r="D10" s="350"/>
    </row>
    <row r="11" spans="1:4">
      <c r="A11" s="345" t="s">
        <v>20</v>
      </c>
      <c r="B11" s="346" t="s">
        <v>255</v>
      </c>
      <c r="C11" s="346"/>
      <c r="D11" s="350"/>
    </row>
    <row r="12" spans="1:4">
      <c r="A12" s="345" t="s">
        <v>20</v>
      </c>
      <c r="B12" s="346" t="s">
        <v>256</v>
      </c>
      <c r="C12" s="346"/>
      <c r="D12" s="348"/>
    </row>
    <row r="13" spans="1:4">
      <c r="A13" s="347" t="s">
        <v>23</v>
      </c>
      <c r="D13" s="351"/>
    </row>
    <row r="14" spans="1:4">
      <c r="A14" s="347" t="s">
        <v>24</v>
      </c>
      <c r="D14" s="351"/>
    </row>
    <row r="15" spans="1:4">
      <c r="A15" s="347" t="s">
        <v>27</v>
      </c>
      <c r="D15" s="351"/>
    </row>
    <row r="16" spans="1:4">
      <c r="A16" s="347" t="s">
        <v>26</v>
      </c>
      <c r="D16" s="351"/>
    </row>
    <row r="17" spans="1:4">
      <c r="A17" s="347" t="s">
        <v>25</v>
      </c>
      <c r="D17" s="351"/>
    </row>
    <row r="18" spans="1:4">
      <c r="A18" s="347" t="s">
        <v>29</v>
      </c>
      <c r="D18" s="351"/>
    </row>
    <row r="19" spans="1:4">
      <c r="A19" s="347" t="s">
        <v>28</v>
      </c>
      <c r="D19" s="351"/>
    </row>
    <row r="20" spans="1:4">
      <c r="A20" s="347" t="s">
        <v>30</v>
      </c>
      <c r="D20" s="351"/>
    </row>
    <row r="21" spans="1:4">
      <c r="A21" s="347" t="s">
        <v>31</v>
      </c>
      <c r="D21" s="351"/>
    </row>
    <row r="22" spans="1:4">
      <c r="A22" s="347" t="s">
        <v>32</v>
      </c>
      <c r="D22" s="351"/>
    </row>
    <row r="23" spans="1:4">
      <c r="A23" s="347" t="s">
        <v>257</v>
      </c>
      <c r="D23" s="351"/>
    </row>
    <row r="24" spans="1:4">
      <c r="A24" s="347" t="s">
        <v>258</v>
      </c>
      <c r="D24" s="351"/>
    </row>
    <row r="25" spans="1:4">
      <c r="A25" s="347" t="s">
        <v>33</v>
      </c>
      <c r="D25" s="351"/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D261F6-34CE-4B15-B3EC-076BC725090F}">
  <sheetPr codeName="Feuil3">
    <tabColor theme="4" tint="-0.249977111117893"/>
  </sheetPr>
  <dimension ref="A1"/>
  <sheetViews>
    <sheetView showGridLines="0" workbookViewId="0"/>
  </sheetViews>
  <sheetFormatPr baseColWidth="10" defaultRowHeight="12.75"/>
  <sheetData/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FCD8A2-295D-445F-941D-A58228119DE6}">
  <sheetPr codeName="Feuil1">
    <tabColor theme="2" tint="-0.499984740745262"/>
  </sheetPr>
  <dimension ref="A1:AA65"/>
  <sheetViews>
    <sheetView showGridLines="0" zoomScale="80" zoomScaleNormal="80" workbookViewId="0">
      <selection activeCell="W21" sqref="W21"/>
    </sheetView>
  </sheetViews>
  <sheetFormatPr baseColWidth="10" defaultColWidth="10.7109375" defaultRowHeight="15.75"/>
  <cols>
    <col min="1" max="1" width="28.42578125" style="292" customWidth="1"/>
    <col min="2" max="2" width="34.7109375" style="235" customWidth="1"/>
    <col min="3" max="3" width="40.7109375" style="235" customWidth="1"/>
    <col min="4" max="4" width="36" style="235" customWidth="1"/>
    <col min="5" max="5" width="14.28515625" style="235" customWidth="1"/>
    <col min="6" max="6" width="10.7109375" style="235"/>
    <col min="7" max="7" width="37.28515625" style="235" hidden="1" customWidth="1"/>
    <col min="8" max="8" width="23.5703125" style="235" hidden="1" customWidth="1"/>
    <col min="9" max="9" width="37.7109375" style="235" hidden="1" customWidth="1"/>
    <col min="10" max="11" width="35.7109375" style="235" hidden="1" customWidth="1"/>
    <col min="12" max="20" width="0" style="235" hidden="1" customWidth="1"/>
    <col min="21" max="21" width="14.28515625" style="235" customWidth="1"/>
    <col min="22" max="22" width="21.85546875" style="235" customWidth="1"/>
    <col min="23" max="16384" width="10.7109375" style="235"/>
  </cols>
  <sheetData>
    <row r="1" spans="1:27" ht="16.5" thickBot="1">
      <c r="A1" s="231"/>
      <c r="B1" s="231"/>
      <c r="C1" s="232"/>
      <c r="D1" s="233" t="s">
        <v>16</v>
      </c>
      <c r="E1" s="234">
        <f ca="1">+TODAY()</f>
        <v>44096</v>
      </c>
    </row>
    <row r="2" spans="1:27">
      <c r="A2" s="231"/>
      <c r="B2" s="236">
        <v>2</v>
      </c>
      <c r="C2" s="232" t="s">
        <v>207</v>
      </c>
      <c r="D2" s="232"/>
      <c r="E2" s="231"/>
      <c r="U2" s="235" t="s">
        <v>278</v>
      </c>
      <c r="W2" s="235" t="s">
        <v>147</v>
      </c>
    </row>
    <row r="3" spans="1:27">
      <c r="A3" s="231"/>
      <c r="B3" s="237"/>
      <c r="C3" s="231"/>
      <c r="D3" s="238"/>
      <c r="E3" s="231"/>
    </row>
    <row r="4" spans="1:27" ht="31.5">
      <c r="A4" s="402"/>
      <c r="B4" s="237"/>
      <c r="C4" s="397" t="s">
        <v>283</v>
      </c>
      <c r="D4" s="398"/>
      <c r="E4" s="239"/>
      <c r="U4" s="235" t="s">
        <v>124</v>
      </c>
    </row>
    <row r="5" spans="1:27" ht="16.5" thickBot="1">
      <c r="A5" s="403"/>
      <c r="B5" s="231"/>
      <c r="C5" s="231"/>
      <c r="D5" s="231"/>
      <c r="E5" s="231"/>
    </row>
    <row r="6" spans="1:27" ht="18.75" customHeight="1" thickBot="1">
      <c r="A6" s="405" t="str">
        <f>IF($B$2="","",IF($B$2=1,"Estimation Solde de Tout Compte","Solde de Tout Compte"))</f>
        <v>Solde de Tout Compte</v>
      </c>
      <c r="B6" s="406"/>
      <c r="C6" s="406">
        <v>2</v>
      </c>
      <c r="D6" s="406"/>
      <c r="E6" s="407"/>
      <c r="F6" s="240"/>
      <c r="G6" s="240"/>
      <c r="U6" s="404" t="s">
        <v>284</v>
      </c>
      <c r="V6" s="404"/>
      <c r="W6" s="404"/>
      <c r="X6" s="404"/>
      <c r="Y6" s="404"/>
      <c r="Z6" s="404"/>
      <c r="AA6" s="404"/>
    </row>
    <row r="7" spans="1:27" ht="15.75" customHeight="1">
      <c r="A7" s="231"/>
      <c r="B7" s="231"/>
      <c r="C7" s="231"/>
      <c r="D7" s="231"/>
      <c r="E7" s="231"/>
    </row>
    <row r="8" spans="1:27" ht="16.5" customHeight="1">
      <c r="A8" s="241" t="s">
        <v>156</v>
      </c>
      <c r="B8" s="293"/>
      <c r="C8" s="239" t="s">
        <v>190</v>
      </c>
      <c r="D8" s="295"/>
      <c r="E8" s="231"/>
      <c r="U8" s="235" t="s">
        <v>277</v>
      </c>
    </row>
    <row r="9" spans="1:27">
      <c r="A9" s="241" t="s">
        <v>0</v>
      </c>
      <c r="B9" s="294"/>
      <c r="C9" s="241" t="s">
        <v>10</v>
      </c>
      <c r="D9" s="296"/>
      <c r="E9" s="232"/>
    </row>
    <row r="10" spans="1:27">
      <c r="A10" s="241" t="s">
        <v>1</v>
      </c>
      <c r="B10" s="294"/>
      <c r="C10" s="241" t="s">
        <v>11</v>
      </c>
      <c r="D10" s="243">
        <f>(B17-D9)/365.25</f>
        <v>0</v>
      </c>
      <c r="E10" s="232"/>
    </row>
    <row r="11" spans="1:27" ht="14.25" customHeight="1">
      <c r="A11" s="241"/>
      <c r="B11" s="244"/>
      <c r="C11" s="232"/>
      <c r="D11" s="232"/>
      <c r="E11" s="232"/>
      <c r="U11" s="235" t="s">
        <v>130</v>
      </c>
    </row>
    <row r="12" spans="1:27">
      <c r="A12" s="241" t="s">
        <v>2</v>
      </c>
      <c r="B12" s="294"/>
      <c r="C12" s="245" t="s">
        <v>12</v>
      </c>
      <c r="D12" s="246">
        <f>IF(D23&lt;&gt;"",ROUND((DAYS360(B16,D23)/360),2),ROUND((DAYS360(B16,B17)/360),2))</f>
        <v>0</v>
      </c>
      <c r="E12" s="232"/>
    </row>
    <row r="13" spans="1:27" ht="17.25">
      <c r="A13" s="241" t="s">
        <v>122</v>
      </c>
      <c r="B13" s="300"/>
      <c r="C13" s="232"/>
      <c r="D13" s="232"/>
      <c r="E13" s="232"/>
    </row>
    <row r="14" spans="1:27">
      <c r="A14" s="241"/>
      <c r="B14" s="232"/>
      <c r="C14" s="241" t="s">
        <v>19</v>
      </c>
      <c r="D14" s="247" t="str">
        <f>IF(B13="","",VLOOKUP(B13,#REF!,2,FALSE))</f>
        <v/>
      </c>
      <c r="E14" s="232"/>
      <c r="H14" s="235">
        <f>$B$17-$D$9-INT(($B$17-$D$9-IF(WEEKDAY($D$9)=1,0,8-WEEKDAY($D$9)))/7)</f>
        <v>1</v>
      </c>
      <c r="U14" s="235" t="s">
        <v>276</v>
      </c>
    </row>
    <row r="15" spans="1:27">
      <c r="A15" s="241" t="s">
        <v>3</v>
      </c>
      <c r="B15" s="296"/>
      <c r="C15" s="232"/>
      <c r="D15" s="232"/>
      <c r="E15" s="232"/>
      <c r="G15" s="235" t="s">
        <v>4</v>
      </c>
      <c r="H15" s="235">
        <f>151.67-((NETWORKDAYS(D9,B17))*7)</f>
        <v>151.66999999999999</v>
      </c>
      <c r="I15" s="235">
        <f>(NETWORKDAYS((B17+1),D10)*7)</f>
        <v>0</v>
      </c>
      <c r="J15" s="235">
        <f>MIN((NETWORKDAYS((B17+1),D10)*7),151.67-((NETWORKDAYS(D9,B17))*7))</f>
        <v>0</v>
      </c>
    </row>
    <row r="16" spans="1:27">
      <c r="A16" s="241" t="s">
        <v>5</v>
      </c>
      <c r="B16" s="296"/>
      <c r="C16" s="241" t="s">
        <v>18</v>
      </c>
      <c r="D16" s="297"/>
      <c r="E16" s="232"/>
      <c r="G16" s="235" t="s">
        <v>6</v>
      </c>
      <c r="H16" s="235">
        <f>151.67-(($B$17-$D$9-INT(($B$17-$D$9-IF(WEEKDAY($D$9)=1,0,8-WEEKDAY($D$9)))/7))*5.83)</f>
        <v>145.83999999999997</v>
      </c>
      <c r="I16" s="248">
        <f>($D$10-($B$17+1)-INT(($D$10-($B$17+1)-IF(WEEKDAY($B$17+1)=1,0,8-WEEKDAY($B$17+1)))/7))*5.83</f>
        <v>0</v>
      </c>
      <c r="J16" s="235">
        <f>MIN(($D$10-($B$17+1)-INT(($D$10-($B$17+1)-IF(WEEKDAY($B$17+1)=1,0,8-WEEKDAY($B$17+1)))/7))*5.83,151.67-(($B$17-$D$9-INT(($B$17-$D$9-IF(WEEKDAY($D$9)=1,0,8-WEEKDAY($D$9)))/7))*5.83))</f>
        <v>0</v>
      </c>
      <c r="U16" s="235" t="s">
        <v>129</v>
      </c>
    </row>
    <row r="17" spans="1:23">
      <c r="A17" s="241" t="s">
        <v>7</v>
      </c>
      <c r="B17" s="301"/>
      <c r="C17" s="232"/>
      <c r="D17" s="232"/>
      <c r="E17" s="232"/>
      <c r="G17" s="235" t="s">
        <v>8</v>
      </c>
      <c r="H17" s="235">
        <f>151.67-((B17-D9+1)*5)</f>
        <v>146.66999999999999</v>
      </c>
      <c r="I17" s="235">
        <f>+(D10-B17+1)*5</f>
        <v>5</v>
      </c>
      <c r="J17" s="235">
        <f>MIN((D10-B17+1)*5,151.67-((B17-D9+1)*5))</f>
        <v>5</v>
      </c>
    </row>
    <row r="18" spans="1:23">
      <c r="A18" s="249" t="s">
        <v>132</v>
      </c>
      <c r="B18" s="242"/>
      <c r="C18" s="241" t="s">
        <v>123</v>
      </c>
      <c r="D18" s="298"/>
      <c r="E18" s="250"/>
    </row>
    <row r="19" spans="1:23">
      <c r="A19" s="241" t="s">
        <v>9</v>
      </c>
      <c r="B19" s="302"/>
      <c r="C19" s="232"/>
      <c r="D19" s="232"/>
      <c r="E19" s="250"/>
    </row>
    <row r="20" spans="1:23" ht="30">
      <c r="A20" s="241"/>
      <c r="B20" s="251"/>
      <c r="C20" s="252" t="s">
        <v>17</v>
      </c>
      <c r="D20" s="299"/>
      <c r="E20" s="250"/>
    </row>
    <row r="21" spans="1:23" ht="30">
      <c r="A21" s="252" t="s">
        <v>14</v>
      </c>
      <c r="B21" s="299"/>
      <c r="C21" s="253" t="s">
        <v>148</v>
      </c>
      <c r="D21" s="254" t="s">
        <v>24</v>
      </c>
      <c r="E21" s="232"/>
      <c r="U21" s="255"/>
    </row>
    <row r="22" spans="1:23" ht="16.5" thickBot="1">
      <c r="A22" s="252"/>
      <c r="B22" s="256"/>
      <c r="C22" s="257"/>
      <c r="D22" s="258"/>
      <c r="E22" s="232"/>
    </row>
    <row r="23" spans="1:23" ht="28.5" thickBot="1">
      <c r="A23" s="259" t="s">
        <v>152</v>
      </c>
      <c r="B23" s="4"/>
      <c r="C23" s="260" t="s">
        <v>15</v>
      </c>
      <c r="D23" s="261" t="str">
        <f>IF(B23="","",IF(B18&lt;&gt;"",EDATE($B$18,$B$23),EDATE($B$17,$B$23)))</f>
        <v/>
      </c>
      <c r="E23" s="232"/>
      <c r="U23" s="255"/>
    </row>
    <row r="24" spans="1:23" ht="16.5" thickBot="1">
      <c r="A24" s="241"/>
      <c r="B24" s="256"/>
      <c r="C24" s="256"/>
      <c r="D24" s="262"/>
      <c r="E24" s="232"/>
    </row>
    <row r="25" spans="1:23" ht="16.5" thickBot="1">
      <c r="A25" s="263"/>
      <c r="B25" s="232"/>
      <c r="C25" s="264" t="s">
        <v>141</v>
      </c>
      <c r="D25" s="265" t="s">
        <v>142</v>
      </c>
      <c r="E25" s="232"/>
      <c r="U25" s="255"/>
    </row>
    <row r="26" spans="1:23">
      <c r="A26" s="266" t="s">
        <v>133</v>
      </c>
      <c r="B26" s="267" t="s">
        <v>134</v>
      </c>
      <c r="C26" s="303"/>
      <c r="D26" s="304"/>
      <c r="E26" s="232"/>
    </row>
    <row r="27" spans="1:23" ht="15.75" customHeight="1">
      <c r="A27" s="241"/>
      <c r="B27" s="268" t="s">
        <v>135</v>
      </c>
      <c r="C27" s="305"/>
      <c r="D27" s="306"/>
      <c r="E27" s="232"/>
    </row>
    <row r="28" spans="1:23" ht="15.75" customHeight="1" thickBot="1">
      <c r="A28" s="241"/>
      <c r="B28" s="269" t="s">
        <v>136</v>
      </c>
      <c r="C28" s="307"/>
      <c r="D28" s="308"/>
      <c r="E28" s="232"/>
      <c r="V28" s="241"/>
      <c r="W28" s="270"/>
    </row>
    <row r="29" spans="1:23" ht="15.75" customHeight="1" thickBot="1">
      <c r="A29" s="263"/>
      <c r="B29" s="232"/>
      <c r="C29" s="232"/>
      <c r="D29" s="232"/>
      <c r="E29" s="232"/>
      <c r="W29" s="271"/>
    </row>
    <row r="30" spans="1:23" ht="15.75" customHeight="1" thickBot="1">
      <c r="A30" s="263"/>
      <c r="B30" s="272"/>
      <c r="C30" s="273" t="s">
        <v>146</v>
      </c>
      <c r="D30" s="232"/>
      <c r="E30" s="232"/>
    </row>
    <row r="31" spans="1:23" ht="15.75" customHeight="1">
      <c r="A31" s="266" t="s">
        <v>137</v>
      </c>
      <c r="B31" s="267" t="s">
        <v>145</v>
      </c>
      <c r="C31" s="309"/>
      <c r="D31" s="232"/>
      <c r="E31" s="232"/>
    </row>
    <row r="32" spans="1:23" ht="15.75" customHeight="1">
      <c r="A32" s="241"/>
      <c r="B32" s="268" t="s">
        <v>144</v>
      </c>
      <c r="C32" s="310"/>
      <c r="D32" s="274"/>
      <c r="E32" s="232"/>
    </row>
    <row r="33" spans="1:23" ht="15.75" customHeight="1">
      <c r="A33" s="241"/>
      <c r="B33" s="268" t="s">
        <v>143</v>
      </c>
      <c r="C33" s="310"/>
      <c r="D33" s="274"/>
      <c r="E33" s="232"/>
    </row>
    <row r="34" spans="1:23" ht="15.75" customHeight="1">
      <c r="A34" s="263"/>
      <c r="B34" s="268" t="s">
        <v>138</v>
      </c>
      <c r="C34" s="311"/>
      <c r="D34" s="232"/>
      <c r="E34" s="232"/>
    </row>
    <row r="35" spans="1:23" ht="15.75" customHeight="1" thickBot="1">
      <c r="A35" s="263"/>
      <c r="B35" s="275" t="s">
        <v>140</v>
      </c>
      <c r="C35" s="312"/>
      <c r="D35" s="232"/>
      <c r="E35" s="232"/>
    </row>
    <row r="36" spans="1:23" ht="15.75" customHeight="1" thickBot="1">
      <c r="A36" s="263"/>
      <c r="B36" s="276"/>
      <c r="C36" s="232"/>
      <c r="D36" s="232"/>
      <c r="E36" s="232"/>
    </row>
    <row r="37" spans="1:23" ht="16.5" thickBot="1">
      <c r="A37" s="277" t="s">
        <v>149</v>
      </c>
      <c r="B37" s="278" t="s">
        <v>150</v>
      </c>
      <c r="C37" s="279"/>
      <c r="D37" s="280"/>
      <c r="E37" s="280"/>
    </row>
    <row r="38" spans="1:23" ht="15.75" customHeight="1" thickBot="1">
      <c r="A38" s="241"/>
      <c r="B38" s="232"/>
      <c r="C38" s="274"/>
      <c r="D38" s="256"/>
      <c r="E38" s="232"/>
    </row>
    <row r="39" spans="1:23" ht="15.75" customHeight="1" thickBot="1">
      <c r="A39" s="277" t="s">
        <v>151</v>
      </c>
      <c r="B39" s="278" t="s">
        <v>151</v>
      </c>
      <c r="C39" s="313"/>
      <c r="D39" s="256"/>
      <c r="E39" s="232"/>
    </row>
    <row r="40" spans="1:23" ht="15.75" customHeight="1" thickBot="1">
      <c r="A40" s="401"/>
      <c r="B40" s="401"/>
      <c r="C40" s="401"/>
      <c r="D40" s="401"/>
      <c r="E40" s="401"/>
    </row>
    <row r="41" spans="1:23" ht="15.75" customHeight="1" thickBot="1">
      <c r="A41" s="266" t="s">
        <v>139</v>
      </c>
      <c r="B41" s="272"/>
      <c r="C41" s="273" t="s">
        <v>154</v>
      </c>
      <c r="D41" s="256"/>
      <c r="E41" s="232"/>
    </row>
    <row r="42" spans="1:23" ht="15.75" customHeight="1">
      <c r="A42" s="241"/>
      <c r="B42" s="267" t="s">
        <v>153</v>
      </c>
      <c r="C42" s="314"/>
      <c r="D42" s="256"/>
      <c r="E42" s="232"/>
    </row>
    <row r="43" spans="1:23" ht="15.75" customHeight="1">
      <c r="A43" s="241"/>
      <c r="B43" s="268" t="s">
        <v>208</v>
      </c>
      <c r="C43" s="315"/>
      <c r="D43" s="256"/>
      <c r="E43" s="232"/>
    </row>
    <row r="44" spans="1:23" ht="15.75" customHeight="1" thickBot="1">
      <c r="A44" s="241"/>
      <c r="B44" s="269" t="s">
        <v>209</v>
      </c>
      <c r="C44" s="316"/>
      <c r="D44" s="256"/>
      <c r="E44" s="232"/>
    </row>
    <row r="45" spans="1:23" ht="15.75" customHeight="1" thickBot="1">
      <c r="A45" s="241"/>
      <c r="B45" s="258"/>
      <c r="C45" s="281">
        <f>SUM(C42:C44)</f>
        <v>0</v>
      </c>
      <c r="D45" s="256"/>
      <c r="E45" s="232"/>
    </row>
    <row r="46" spans="1:23" ht="15.75" customHeight="1">
      <c r="A46" s="241"/>
      <c r="B46" s="258"/>
      <c r="C46" s="282"/>
      <c r="D46" s="256"/>
      <c r="E46" s="232"/>
    </row>
    <row r="47" spans="1:23" ht="15.75" customHeight="1">
      <c r="A47" s="401"/>
      <c r="B47" s="401"/>
      <c r="C47" s="401"/>
      <c r="D47" s="401"/>
      <c r="E47" s="401"/>
    </row>
    <row r="48" spans="1:23" ht="30">
      <c r="A48" s="241"/>
      <c r="B48" s="408" t="s">
        <v>50</v>
      </c>
      <c r="C48" s="409"/>
      <c r="D48" s="283" t="s">
        <v>51</v>
      </c>
      <c r="E48" s="232"/>
      <c r="V48" s="241"/>
      <c r="W48" s="284"/>
    </row>
    <row r="49" spans="1:23" ht="15.75" customHeight="1">
      <c r="A49" s="241"/>
      <c r="B49" s="285" t="str">
        <f>IF($B$17="","",DATE(YEAR($B$18)-1,MONTH($B$18),1))</f>
        <v/>
      </c>
      <c r="C49" s="41"/>
      <c r="D49" s="41"/>
      <c r="E49" s="232"/>
    </row>
    <row r="50" spans="1:23" ht="15.75" customHeight="1">
      <c r="A50" s="241"/>
      <c r="B50" s="285" t="str">
        <f t="shared" ref="B50:B60" si="0">IF(B49="","",DATE(YEAR(B49),MONTH(B49)+1,1))</f>
        <v/>
      </c>
      <c r="C50" s="41"/>
      <c r="D50" s="41"/>
      <c r="E50" s="232"/>
    </row>
    <row r="51" spans="1:23" ht="15.75" customHeight="1">
      <c r="A51" s="241"/>
      <c r="B51" s="285" t="str">
        <f t="shared" si="0"/>
        <v/>
      </c>
      <c r="C51" s="41"/>
      <c r="D51" s="41"/>
      <c r="E51" s="232"/>
    </row>
    <row r="52" spans="1:23" ht="15.75" customHeight="1">
      <c r="A52" s="241"/>
      <c r="B52" s="285" t="str">
        <f t="shared" si="0"/>
        <v/>
      </c>
      <c r="C52" s="41"/>
      <c r="D52" s="41"/>
      <c r="E52" s="232"/>
    </row>
    <row r="53" spans="1:23" ht="15.75" customHeight="1">
      <c r="A53" s="241"/>
      <c r="B53" s="285" t="str">
        <f t="shared" si="0"/>
        <v/>
      </c>
      <c r="C53" s="41"/>
      <c r="D53" s="41"/>
      <c r="E53" s="232"/>
    </row>
    <row r="54" spans="1:23" ht="15.75" customHeight="1">
      <c r="A54" s="241"/>
      <c r="B54" s="285" t="str">
        <f t="shared" si="0"/>
        <v/>
      </c>
      <c r="C54" s="41"/>
      <c r="D54" s="41"/>
      <c r="E54" s="232"/>
      <c r="V54" s="257"/>
      <c r="W54" s="286"/>
    </row>
    <row r="55" spans="1:23" ht="15.75" customHeight="1">
      <c r="A55" s="241"/>
      <c r="B55" s="285" t="str">
        <f t="shared" si="0"/>
        <v/>
      </c>
      <c r="C55" s="41"/>
      <c r="D55" s="41"/>
      <c r="E55" s="232"/>
      <c r="W55" s="271"/>
    </row>
    <row r="56" spans="1:23" ht="15.75" customHeight="1">
      <c r="A56" s="241"/>
      <c r="B56" s="285" t="str">
        <f t="shared" si="0"/>
        <v/>
      </c>
      <c r="C56" s="41"/>
      <c r="D56" s="41"/>
      <c r="E56" s="232"/>
      <c r="V56" s="256"/>
      <c r="W56" s="262"/>
    </row>
    <row r="57" spans="1:23" ht="15.75" customHeight="1">
      <c r="A57" s="241"/>
      <c r="B57" s="285" t="str">
        <f t="shared" si="0"/>
        <v/>
      </c>
      <c r="C57" s="41"/>
      <c r="D57" s="41"/>
      <c r="E57" s="232"/>
    </row>
    <row r="58" spans="1:23" ht="15.75" customHeight="1">
      <c r="A58" s="241"/>
      <c r="B58" s="285" t="str">
        <f t="shared" si="0"/>
        <v/>
      </c>
      <c r="C58" s="41"/>
      <c r="D58" s="41"/>
      <c r="E58" s="232"/>
    </row>
    <row r="59" spans="1:23" ht="15.75" customHeight="1">
      <c r="A59" s="241"/>
      <c r="B59" s="285" t="str">
        <f t="shared" si="0"/>
        <v/>
      </c>
      <c r="C59" s="41"/>
      <c r="D59" s="41"/>
      <c r="E59" s="232"/>
    </row>
    <row r="60" spans="1:23" ht="15.75" customHeight="1">
      <c r="A60" s="241"/>
      <c r="B60" s="285" t="str">
        <f t="shared" si="0"/>
        <v/>
      </c>
      <c r="C60" s="41"/>
      <c r="D60" s="41"/>
      <c r="E60" s="232"/>
    </row>
    <row r="61" spans="1:23" ht="15.75" customHeight="1">
      <c r="A61" s="241"/>
      <c r="B61" s="287" t="s">
        <v>57</v>
      </c>
      <c r="C61" s="288">
        <f>SUM(C49:C60)</f>
        <v>0</v>
      </c>
      <c r="D61" s="288">
        <f>SUM(D49:D60)</f>
        <v>0</v>
      </c>
      <c r="E61" s="232"/>
    </row>
    <row r="62" spans="1:23" ht="15.75" customHeight="1">
      <c r="A62" s="241"/>
      <c r="B62" s="289" t="s">
        <v>54</v>
      </c>
      <c r="C62" s="399" t="e">
        <f>(C61+D61)/COUNTA(C49:C60)</f>
        <v>#DIV/0!</v>
      </c>
      <c r="D62" s="400"/>
      <c r="E62" s="232"/>
    </row>
    <row r="63" spans="1:23" ht="15.75" customHeight="1">
      <c r="A63" s="241"/>
      <c r="B63" s="290"/>
      <c r="C63" s="291"/>
      <c r="D63" s="291"/>
      <c r="E63" s="232"/>
    </row>
    <row r="64" spans="1:23" ht="15.75" customHeight="1">
      <c r="A64" s="241"/>
      <c r="B64" s="290"/>
      <c r="C64" s="291"/>
      <c r="D64" s="291"/>
      <c r="E64" s="232"/>
    </row>
    <row r="65" spans="1:5" ht="15.75" customHeight="1">
      <c r="A65" s="241"/>
      <c r="B65" s="290"/>
      <c r="C65" s="291"/>
      <c r="D65" s="291"/>
      <c r="E65" s="232"/>
    </row>
  </sheetData>
  <sheetProtection selectLockedCells="1" selectUnlockedCells="1"/>
  <mergeCells count="7">
    <mergeCell ref="C62:D62"/>
    <mergeCell ref="A47:E47"/>
    <mergeCell ref="A4:A5"/>
    <mergeCell ref="A40:E40"/>
    <mergeCell ref="U6:AA6"/>
    <mergeCell ref="A6:E6"/>
    <mergeCell ref="B48:C48"/>
  </mergeCells>
  <conditionalFormatting sqref="C26:D28">
    <cfRule type="expression" dxfId="11" priority="29">
      <formula>ISBLANK(C26:D28)</formula>
    </cfRule>
  </conditionalFormatting>
  <conditionalFormatting sqref="C31:C35">
    <cfRule type="expression" dxfId="10" priority="27">
      <formula>ISBLANK(C31:C35)</formula>
    </cfRule>
  </conditionalFormatting>
  <conditionalFormatting sqref="C37 C39">
    <cfRule type="expression" dxfId="9" priority="33">
      <formula>ISBLANK(C37)</formula>
    </cfRule>
    <cfRule type="expression" dxfId="8" priority="34">
      <formula>ISBLANK(C37:C50)</formula>
    </cfRule>
  </conditionalFormatting>
  <conditionalFormatting sqref="C42:C44">
    <cfRule type="expression" dxfId="7" priority="15">
      <formula>ISBLANK(C42:C44)</formula>
    </cfRule>
  </conditionalFormatting>
  <conditionalFormatting sqref="A37:C37">
    <cfRule type="expression" dxfId="6" priority="12">
      <formula>$D$14&lt;&gt;"Syntec"</formula>
    </cfRule>
  </conditionalFormatting>
  <conditionalFormatting sqref="C4:D4">
    <cfRule type="expression" dxfId="5" priority="1">
      <formula>"B2=2"</formula>
    </cfRule>
    <cfRule type="expression" dxfId="4" priority="2">
      <formula>"b2=2"</formula>
    </cfRule>
  </conditionalFormatting>
  <conditionalFormatting sqref="A18:B18">
    <cfRule type="expression" dxfId="3" priority="37">
      <formula>NOT(ISNUMBER(MATCH($D18,#REF!,0)))</formula>
    </cfRule>
  </conditionalFormatting>
  <dataValidations count="3">
    <dataValidation type="list" allowBlank="1" showInputMessage="1" showErrorMessage="1" sqref="D16" xr:uid="{261C442C-9F81-4C14-82A4-BE1269FE8EC9}">
      <formula1>INDIRECT(D14)</formula1>
    </dataValidation>
    <dataValidation type="list" allowBlank="1" showInputMessage="1" showErrorMessage="1" sqref="D21" xr:uid="{E333BEAA-11BE-4EFB-8E1C-67DD77E820DC}">
      <formula1>INDIRECT($D$16)</formula1>
    </dataValidation>
    <dataValidation type="list" allowBlank="1" showInputMessage="1" showErrorMessage="1" sqref="B13 D18 D20 B21 B8" xr:uid="{1217FAFA-EDD7-4A4F-91E3-850D054FF36E}">
      <formula1>#REF!</formula1>
    </dataValidation>
  </dataValidations>
  <printOptions horizontalCentered="1"/>
  <pageMargins left="0.19685039370078741" right="0.19685039370078741" top="0.6974803149606299" bottom="0.23622047244094491" header="0.15748031496062992" footer="0.15748031496062992"/>
  <pageSetup paperSize="9" scale="64" firstPageNumber="0" orientation="portrait" horizontalDpi="4294967294" verticalDpi="4294967294" r:id="rId1"/>
  <headerFooter alignWithMargins="0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80" r:id="rId4" name="Option Button 56">
              <controlPr defaultSize="0" autoFill="0" autoLine="0" autoPict="0" macro="[0]!Casdoption56_Cliquer">
                <anchor moveWithCells="1">
                  <from>
                    <xdr:col>1</xdr:col>
                    <xdr:colOff>352425</xdr:colOff>
                    <xdr:row>0</xdr:row>
                    <xdr:rowOff>85725</xdr:rowOff>
                  </from>
                  <to>
                    <xdr:col>1</xdr:col>
                    <xdr:colOff>1857375</xdr:colOff>
                    <xdr:row>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5" name="Option Button 57">
              <controlPr defaultSize="0" autoFill="0" autoLine="0" autoPict="0" macro="[0]!Casdoption57_Cliquer">
                <anchor moveWithCells="1">
                  <from>
                    <xdr:col>1</xdr:col>
                    <xdr:colOff>352425</xdr:colOff>
                    <xdr:row>2</xdr:row>
                    <xdr:rowOff>19050</xdr:rowOff>
                  </from>
                  <to>
                    <xdr:col>1</xdr:col>
                    <xdr:colOff>1866900</xdr:colOff>
                    <xdr:row>3</xdr:row>
                    <xdr:rowOff>123825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B7C01A-4BA8-4F0E-888D-492063FE1D0C}">
  <sheetPr codeName="Feuil51">
    <tabColor rgb="FFFF0000"/>
  </sheetPr>
  <dimension ref="A1:K220"/>
  <sheetViews>
    <sheetView showGridLines="0" zoomScale="80" zoomScaleNormal="80" workbookViewId="0">
      <selection activeCell="E71" sqref="E71"/>
    </sheetView>
  </sheetViews>
  <sheetFormatPr baseColWidth="10" defaultRowHeight="12.75"/>
  <cols>
    <col min="1" max="1" width="34.140625" customWidth="1"/>
    <col min="2" max="2" width="21.85546875" customWidth="1"/>
    <col min="3" max="3" width="16" customWidth="1"/>
    <col min="4" max="4" width="30.5703125" customWidth="1"/>
    <col min="5" max="5" width="20.7109375" customWidth="1"/>
    <col min="6" max="6" width="19.7109375" customWidth="1"/>
    <col min="7" max="7" width="22.28515625" bestFit="1" customWidth="1"/>
    <col min="8" max="8" width="1.28515625" customWidth="1"/>
    <col min="9" max="9" width="23.7109375" customWidth="1"/>
    <col min="10" max="10" width="18.140625" customWidth="1"/>
    <col min="11" max="11" width="13.85546875" bestFit="1" customWidth="1"/>
  </cols>
  <sheetData>
    <row r="1" spans="1:10" ht="15" customHeight="1">
      <c r="A1" s="514" t="str">
        <f>IF($A$6="","","Calcul Indemnité "&amp;IF($A$6=1,"de Licenciement","Rupture Conventionnelle")&amp;" Cadres CCN " &amp; 'Renseignements salarié'!$D$16)</f>
        <v xml:space="preserve">Calcul Indemnité de Licenciement Cadres CCN </v>
      </c>
      <c r="B1" s="515"/>
      <c r="C1" s="515"/>
      <c r="D1" s="515"/>
      <c r="E1" s="515"/>
      <c r="F1" s="515"/>
      <c r="G1" s="515"/>
      <c r="H1" s="515"/>
      <c r="I1" s="515"/>
      <c r="J1" s="516"/>
    </row>
    <row r="2" spans="1:10" ht="15" customHeight="1">
      <c r="A2" s="517"/>
      <c r="B2" s="518"/>
      <c r="C2" s="518"/>
      <c r="D2" s="518"/>
      <c r="E2" s="518"/>
      <c r="F2" s="518"/>
      <c r="G2" s="518"/>
      <c r="H2" s="518"/>
      <c r="I2" s="518"/>
      <c r="J2" s="519"/>
    </row>
    <row r="3" spans="1:10" ht="15.75" customHeight="1" thickBot="1">
      <c r="A3" s="520"/>
      <c r="B3" s="521"/>
      <c r="C3" s="521"/>
      <c r="D3" s="521"/>
      <c r="E3" s="521"/>
      <c r="F3" s="521"/>
      <c r="G3" s="521"/>
      <c r="H3" s="521"/>
      <c r="I3" s="521"/>
      <c r="J3" s="522"/>
    </row>
    <row r="4" spans="1:10" ht="15">
      <c r="A4" s="3"/>
      <c r="B4" s="3"/>
      <c r="C4" s="5"/>
      <c r="D4" s="5"/>
      <c r="E4" s="3"/>
      <c r="F4" s="5"/>
      <c r="G4" s="3"/>
      <c r="H4" s="3"/>
      <c r="I4" s="3"/>
      <c r="J4" s="3"/>
    </row>
    <row r="5" spans="1:10" ht="15">
      <c r="A5" s="3"/>
      <c r="B5" s="3"/>
      <c r="C5" s="5"/>
      <c r="D5" s="5"/>
      <c r="E5" s="3"/>
      <c r="F5" s="5"/>
      <c r="G5" s="3"/>
      <c r="H5" s="3"/>
      <c r="I5" s="3"/>
      <c r="J5" s="3"/>
    </row>
    <row r="6" spans="1:10" ht="15">
      <c r="A6" s="6">
        <v>1</v>
      </c>
      <c r="C6" s="7"/>
      <c r="D6" s="8"/>
      <c r="E6" s="9" t="s">
        <v>16</v>
      </c>
      <c r="F6" s="10">
        <f ca="1">+TODAY()</f>
        <v>44096</v>
      </c>
      <c r="G6" s="8"/>
      <c r="H6" s="8"/>
      <c r="I6" s="8"/>
      <c r="J6" s="7"/>
    </row>
    <row r="7" spans="1:10" ht="15">
      <c r="A7" s="3"/>
      <c r="B7" s="3"/>
      <c r="C7" s="5"/>
      <c r="D7" s="5"/>
      <c r="E7" s="3"/>
      <c r="F7" s="5"/>
      <c r="G7" s="3"/>
      <c r="H7" s="3"/>
      <c r="I7" s="3"/>
      <c r="J7" s="3"/>
    </row>
    <row r="8" spans="1:10" ht="15">
      <c r="A8" s="3"/>
      <c r="B8" s="3"/>
      <c r="C8" s="5"/>
      <c r="D8" s="5"/>
      <c r="E8" s="3"/>
      <c r="F8" s="5"/>
      <c r="G8" s="3"/>
      <c r="H8" s="3"/>
      <c r="I8" s="3"/>
      <c r="J8" s="3"/>
    </row>
    <row r="9" spans="1:10" ht="15">
      <c r="A9" s="3"/>
      <c r="B9" s="3"/>
      <c r="C9" s="5"/>
      <c r="D9" s="5"/>
      <c r="E9" s="3"/>
      <c r="F9" s="5"/>
      <c r="G9" s="3"/>
      <c r="H9" s="3"/>
      <c r="I9" s="3"/>
      <c r="J9" s="3"/>
    </row>
    <row r="10" spans="1:10" ht="15">
      <c r="A10" s="3"/>
      <c r="B10" s="3"/>
      <c r="C10" s="5"/>
      <c r="D10" s="5"/>
      <c r="E10" s="3"/>
      <c r="F10" s="5"/>
      <c r="G10" s="3"/>
      <c r="H10" s="3"/>
      <c r="I10" s="3"/>
      <c r="J10" s="3"/>
    </row>
    <row r="11" spans="1:10" ht="15">
      <c r="A11" s="3"/>
      <c r="B11" s="3"/>
      <c r="C11" s="5"/>
      <c r="D11" s="5"/>
      <c r="E11" s="3"/>
      <c r="F11" s="5"/>
      <c r="G11" s="3"/>
      <c r="H11" s="3"/>
      <c r="I11" s="3"/>
      <c r="J11" s="3"/>
    </row>
    <row r="12" spans="1:10" ht="15">
      <c r="A12" s="3"/>
      <c r="B12" s="523" t="s">
        <v>34</v>
      </c>
      <c r="C12" s="524"/>
      <c r="D12" s="11" t="s">
        <v>35</v>
      </c>
      <c r="E12" s="12"/>
      <c r="F12" s="525" t="s">
        <v>36</v>
      </c>
      <c r="G12" s="525"/>
      <c r="H12" s="525"/>
      <c r="I12" s="525"/>
      <c r="J12" s="13"/>
    </row>
    <row r="13" spans="1:10">
      <c r="A13" s="12"/>
      <c r="B13" s="12"/>
      <c r="C13" s="14"/>
      <c r="D13" s="11" t="s">
        <v>37</v>
      </c>
      <c r="E13" s="12"/>
      <c r="F13" s="525" t="s">
        <v>38</v>
      </c>
      <c r="G13" s="525"/>
      <c r="H13" s="525"/>
      <c r="I13" s="525"/>
      <c r="J13" s="13"/>
    </row>
    <row r="14" spans="1:10">
      <c r="A14" s="12"/>
      <c r="B14" s="12"/>
      <c r="C14" s="14"/>
      <c r="D14" s="11"/>
      <c r="E14" s="12"/>
      <c r="F14" s="13"/>
      <c r="G14" s="13"/>
      <c r="H14" s="13"/>
      <c r="I14" s="13"/>
      <c r="J14" s="13"/>
    </row>
    <row r="15" spans="1:10" ht="15">
      <c r="A15" s="15"/>
      <c r="B15" s="3"/>
      <c r="C15" s="5"/>
      <c r="D15" s="5"/>
      <c r="E15" s="3"/>
      <c r="F15" s="5"/>
      <c r="G15" s="3"/>
      <c r="H15" s="3"/>
      <c r="I15" s="3"/>
      <c r="J15" s="3"/>
    </row>
    <row r="16" spans="1:10" ht="15">
      <c r="A16" s="16" t="s">
        <v>39</v>
      </c>
      <c r="B16" s="17">
        <f>+'Renseignements salarié'!B12</f>
        <v>0</v>
      </c>
      <c r="C16" s="15"/>
      <c r="D16" s="18" t="s">
        <v>12</v>
      </c>
      <c r="E16" s="3"/>
      <c r="F16" s="19" t="e">
        <f>IF(F20&lt;&gt;"",ROUND((DAYS360(B20,F20)/360),2),ROUND((DAYS360(B20,B21)/360),2))</f>
        <v>#VALUE!</v>
      </c>
      <c r="G16" s="3"/>
      <c r="H16" s="3"/>
      <c r="I16" s="3"/>
      <c r="J16" s="3"/>
    </row>
    <row r="17" spans="1:10" ht="15" customHeight="1">
      <c r="A17" s="15" t="s">
        <v>40</v>
      </c>
      <c r="B17" s="17">
        <f>+'Renseignements salarié'!B9</f>
        <v>0</v>
      </c>
      <c r="C17" s="15"/>
      <c r="D17" s="3" t="s">
        <v>13</v>
      </c>
      <c r="E17" s="3"/>
      <c r="F17" s="20" t="str">
        <f>IF(+'Renseignements salarié'!$B$23="","",+'Renseignements salarié'!$B$23)</f>
        <v/>
      </c>
      <c r="G17" s="3"/>
      <c r="H17" s="3"/>
      <c r="I17" s="3"/>
      <c r="J17" s="3"/>
    </row>
    <row r="18" spans="1:10" ht="15">
      <c r="A18" s="15" t="s">
        <v>41</v>
      </c>
      <c r="B18" s="17">
        <f>+'Renseignements salarié'!B10</f>
        <v>0</v>
      </c>
      <c r="C18" s="15"/>
      <c r="D18" s="3"/>
      <c r="E18" s="3"/>
      <c r="F18" s="3"/>
      <c r="G18" s="3"/>
      <c r="H18" s="3"/>
      <c r="I18" s="3"/>
      <c r="J18" s="3"/>
    </row>
    <row r="19" spans="1:10" ht="30">
      <c r="A19" s="21" t="s">
        <v>42</v>
      </c>
      <c r="B19" s="22">
        <f>+'Renseignements salarié'!B15</f>
        <v>0</v>
      </c>
      <c r="C19" s="15"/>
      <c r="D19" s="23" t="s">
        <v>14</v>
      </c>
      <c r="E19" s="3"/>
      <c r="F19" s="3"/>
      <c r="G19" s="3"/>
      <c r="H19" s="3"/>
      <c r="I19" s="3"/>
      <c r="J19" s="3"/>
    </row>
    <row r="20" spans="1:10" ht="15">
      <c r="A20" s="24" t="s">
        <v>43</v>
      </c>
      <c r="B20" s="22">
        <f>+'Renseignements salarié'!B16</f>
        <v>0</v>
      </c>
      <c r="C20" s="5"/>
      <c r="D20" s="3" t="s">
        <v>15</v>
      </c>
      <c r="E20" s="25"/>
      <c r="F20" s="26" t="str">
        <f>IF(+'Renseignements salarié'!D23="","",+'Renseignements salarié'!D23)</f>
        <v/>
      </c>
      <c r="G20" s="3"/>
      <c r="H20" s="3"/>
      <c r="I20" s="3"/>
      <c r="J20" s="3"/>
    </row>
    <row r="21" spans="1:10" ht="15">
      <c r="A21" s="27" t="s">
        <v>269</v>
      </c>
      <c r="B21" s="28" t="str">
        <f>IF((+'Renseignements salarié'!B17)="","",+'Renseignements salarié'!B17)</f>
        <v/>
      </c>
      <c r="C21" s="5"/>
      <c r="D21" s="3"/>
      <c r="E21" s="3"/>
      <c r="F21" s="5"/>
      <c r="G21" s="3"/>
      <c r="H21" s="3"/>
      <c r="I21" s="3"/>
      <c r="J21" s="3"/>
    </row>
    <row r="22" spans="1:10" ht="15">
      <c r="A22" s="3" t="s">
        <v>45</v>
      </c>
      <c r="B22" s="22">
        <f>+'Renseignements salarié'!D9</f>
        <v>0</v>
      </c>
      <c r="C22" s="5"/>
      <c r="D22" s="2"/>
      <c r="E22" s="3"/>
      <c r="F22" s="5"/>
      <c r="G22" s="3"/>
      <c r="H22" s="3"/>
      <c r="I22" s="3"/>
      <c r="J22" s="3"/>
    </row>
    <row r="23" spans="1:10" ht="15">
      <c r="A23" s="3" t="s">
        <v>11</v>
      </c>
      <c r="B23" s="29" t="e">
        <f>(B21-B22)/365.25</f>
        <v>#VALUE!</v>
      </c>
      <c r="C23" s="5"/>
      <c r="D23" s="30"/>
      <c r="E23" s="3"/>
      <c r="F23" s="5"/>
      <c r="G23" s="3"/>
      <c r="H23" s="3"/>
      <c r="I23" s="3"/>
      <c r="J23" s="3"/>
    </row>
    <row r="24" spans="1:10" ht="15">
      <c r="A24" s="3"/>
      <c r="B24" s="3"/>
      <c r="C24" s="3"/>
      <c r="D24" s="3"/>
      <c r="E24" s="3"/>
      <c r="F24" s="5"/>
      <c r="G24" s="3"/>
      <c r="H24" s="3"/>
      <c r="I24" s="3"/>
      <c r="J24" s="3"/>
    </row>
    <row r="25" spans="1:10" ht="15">
      <c r="A25" s="31" t="s">
        <v>46</v>
      </c>
      <c r="B25" s="3"/>
      <c r="C25" s="32" t="s">
        <v>47</v>
      </c>
      <c r="D25" s="33"/>
      <c r="E25" s="34"/>
      <c r="F25" s="5"/>
      <c r="G25" s="3"/>
      <c r="H25" s="3"/>
      <c r="I25" s="3" t="s">
        <v>48</v>
      </c>
      <c r="J25" s="3"/>
    </row>
    <row r="26" spans="1:10" ht="15">
      <c r="A26" s="16"/>
      <c r="B26" s="16"/>
      <c r="C26" s="35"/>
      <c r="D26" s="33"/>
      <c r="E26" s="34"/>
      <c r="F26" s="5"/>
      <c r="G26" s="3"/>
      <c r="H26" s="3"/>
      <c r="I26" s="3"/>
      <c r="J26" s="3"/>
    </row>
    <row r="27" spans="1:10" ht="15">
      <c r="A27" s="36"/>
      <c r="B27" s="37"/>
      <c r="C27" s="38"/>
      <c r="D27" s="38"/>
      <c r="E27" s="3"/>
      <c r="F27" s="5"/>
      <c r="G27" s="3"/>
      <c r="H27" s="3"/>
      <c r="I27" s="3"/>
      <c r="J27" s="3"/>
    </row>
    <row r="28" spans="1:10" ht="15.75" thickBot="1">
      <c r="A28" s="3"/>
      <c r="B28" s="3"/>
      <c r="C28" s="5"/>
      <c r="D28" s="33"/>
      <c r="E28" s="34"/>
      <c r="F28" s="5"/>
      <c r="G28" s="3"/>
      <c r="H28" s="3"/>
      <c r="I28" s="3"/>
      <c r="J28" s="3"/>
    </row>
    <row r="29" spans="1:10" ht="13.5" thickBot="1">
      <c r="A29" s="526" t="s">
        <v>49</v>
      </c>
      <c r="B29" s="527"/>
      <c r="C29" s="527"/>
      <c r="D29" s="527"/>
      <c r="E29" s="527"/>
      <c r="F29" s="527"/>
      <c r="G29" s="527"/>
      <c r="H29" s="527"/>
      <c r="I29" s="527"/>
      <c r="J29" s="528"/>
    </row>
    <row r="30" spans="1:10" ht="15">
      <c r="A30" s="3"/>
      <c r="B30" s="3"/>
      <c r="C30" s="5"/>
      <c r="D30" s="5"/>
      <c r="E30" s="3"/>
      <c r="F30" s="5"/>
      <c r="G30" s="3"/>
      <c r="H30" s="3"/>
      <c r="I30" s="3"/>
      <c r="J30" s="3"/>
    </row>
    <row r="31" spans="1:10" ht="33" customHeight="1">
      <c r="A31" s="529" t="s">
        <v>50</v>
      </c>
      <c r="B31" s="530"/>
      <c r="C31" s="39" t="s">
        <v>51</v>
      </c>
      <c r="D31" s="5"/>
      <c r="E31" s="529" t="s">
        <v>52</v>
      </c>
      <c r="F31" s="530"/>
      <c r="G31" s="39" t="s">
        <v>51</v>
      </c>
      <c r="H31" s="3"/>
      <c r="I31" s="3"/>
      <c r="J31" s="3"/>
    </row>
    <row r="32" spans="1:10" ht="15">
      <c r="A32" s="40" t="str">
        <f>+'Renseignements salarié'!B49</f>
        <v/>
      </c>
      <c r="B32" s="42">
        <f>+'Renseignements salarié'!C49</f>
        <v>0</v>
      </c>
      <c r="C32" s="42">
        <f>+'Renseignements salarié'!D49</f>
        <v>0</v>
      </c>
      <c r="D32" s="5"/>
      <c r="E32" s="40" t="str">
        <f>+A41</f>
        <v/>
      </c>
      <c r="F32" s="42">
        <f>+B41</f>
        <v>0</v>
      </c>
      <c r="G32" s="42">
        <f>+C41</f>
        <v>0</v>
      </c>
      <c r="H32" s="3"/>
      <c r="I32" s="3"/>
      <c r="J32" s="3"/>
    </row>
    <row r="33" spans="1:7" ht="15">
      <c r="A33" s="40" t="str">
        <f>+'Renseignements salarié'!B50</f>
        <v/>
      </c>
      <c r="B33" s="42">
        <f>+'Renseignements salarié'!C50</f>
        <v>0</v>
      </c>
      <c r="C33" s="42">
        <f>+'Renseignements salarié'!D50</f>
        <v>0</v>
      </c>
      <c r="D33" s="5"/>
      <c r="E33" s="40" t="str">
        <f>+A42</f>
        <v/>
      </c>
      <c r="F33" s="42">
        <f>+B42</f>
        <v>0</v>
      </c>
      <c r="G33" s="42">
        <f t="shared" ref="G33:G34" si="0">+C42</f>
        <v>0</v>
      </c>
    </row>
    <row r="34" spans="1:7" ht="15">
      <c r="A34" s="40" t="str">
        <f>+'Renseignements salarié'!B51</f>
        <v/>
      </c>
      <c r="B34" s="42">
        <f>+'Renseignements salarié'!C51</f>
        <v>0</v>
      </c>
      <c r="C34" s="42">
        <f>+'Renseignements salarié'!D51</f>
        <v>0</v>
      </c>
      <c r="D34" s="5"/>
      <c r="E34" s="40" t="str">
        <f>+A43</f>
        <v/>
      </c>
      <c r="F34" s="42">
        <f>+B43</f>
        <v>0</v>
      </c>
      <c r="G34" s="42">
        <f t="shared" si="0"/>
        <v>0</v>
      </c>
    </row>
    <row r="35" spans="1:7" ht="15">
      <c r="A35" s="40" t="str">
        <f>+'Renseignements salarié'!B52</f>
        <v/>
      </c>
      <c r="B35" s="42">
        <f>+'Renseignements salarié'!C52</f>
        <v>0</v>
      </c>
      <c r="C35" s="42">
        <f>+'Renseignements salarié'!D52</f>
        <v>0</v>
      </c>
      <c r="D35" s="5"/>
      <c r="E35" s="43" t="s">
        <v>53</v>
      </c>
      <c r="F35" s="44">
        <f>SUM(F32:F34)</f>
        <v>0</v>
      </c>
      <c r="G35" s="44">
        <f>SUM(G32:G34)</f>
        <v>0</v>
      </c>
    </row>
    <row r="36" spans="1:7" ht="15">
      <c r="A36" s="40" t="str">
        <f>+'Renseignements salarié'!B53</f>
        <v/>
      </c>
      <c r="B36" s="42">
        <f>+'Renseignements salarié'!C53</f>
        <v>0</v>
      </c>
      <c r="C36" s="42">
        <f>+'Renseignements salarié'!D53</f>
        <v>0</v>
      </c>
      <c r="D36" s="5"/>
      <c r="E36" s="45" t="s">
        <v>54</v>
      </c>
      <c r="F36" s="453">
        <f>(F35+G35)/COUNTA(F32:F34)</f>
        <v>0</v>
      </c>
      <c r="G36" s="454"/>
    </row>
    <row r="37" spans="1:7" ht="15">
      <c r="A37" s="40" t="str">
        <f>+'Renseignements salarié'!B54</f>
        <v/>
      </c>
      <c r="B37" s="42">
        <f>+'Renseignements salarié'!C54</f>
        <v>0</v>
      </c>
      <c r="C37" s="42">
        <f>+'Renseignements salarié'!D54</f>
        <v>0</v>
      </c>
      <c r="D37" s="5"/>
      <c r="E37" s="3"/>
      <c r="F37" s="3"/>
      <c r="G37" s="3"/>
    </row>
    <row r="38" spans="1:7" ht="15">
      <c r="A38" s="40" t="str">
        <f>+'Renseignements salarié'!B55</f>
        <v/>
      </c>
      <c r="B38" s="42">
        <f>+'Renseignements salarié'!C55</f>
        <v>0</v>
      </c>
      <c r="C38" s="42">
        <f>+'Renseignements salarié'!D55</f>
        <v>0</v>
      </c>
      <c r="D38" s="5"/>
      <c r="E38" s="3"/>
      <c r="F38" s="5"/>
      <c r="G38" s="3"/>
    </row>
    <row r="39" spans="1:7" ht="15">
      <c r="A39" s="40" t="str">
        <f>+'Renseignements salarié'!B56</f>
        <v/>
      </c>
      <c r="B39" s="42">
        <f>+'Renseignements salarié'!C56</f>
        <v>0</v>
      </c>
      <c r="C39" s="42">
        <f>+'Renseignements salarié'!D56</f>
        <v>0</v>
      </c>
      <c r="D39" s="5"/>
      <c r="E39" s="3"/>
      <c r="F39" s="5"/>
      <c r="G39" s="3"/>
    </row>
    <row r="40" spans="1:7" ht="15">
      <c r="A40" s="40" t="str">
        <f>+'Renseignements salarié'!B57</f>
        <v/>
      </c>
      <c r="B40" s="42">
        <f>+'Renseignements salarié'!C57</f>
        <v>0</v>
      </c>
      <c r="C40" s="42">
        <f>+'Renseignements salarié'!D57</f>
        <v>0</v>
      </c>
      <c r="D40" s="5"/>
      <c r="E40" s="531" t="s">
        <v>55</v>
      </c>
      <c r="F40" s="532"/>
      <c r="G40" s="533"/>
    </row>
    <row r="41" spans="1:7" ht="15">
      <c r="A41" s="40" t="str">
        <f>+'Renseignements salarié'!B58</f>
        <v/>
      </c>
      <c r="B41" s="42">
        <f>+'Renseignements salarié'!C58</f>
        <v>0</v>
      </c>
      <c r="C41" s="42">
        <f>+'Renseignements salarié'!D58</f>
        <v>0</v>
      </c>
      <c r="D41" s="5"/>
      <c r="E41" s="534" t="s">
        <v>56</v>
      </c>
      <c r="F41" s="535"/>
      <c r="G41" s="536"/>
    </row>
    <row r="42" spans="1:7" ht="15">
      <c r="A42" s="40" t="str">
        <f>+'Renseignements salarié'!B59</f>
        <v/>
      </c>
      <c r="B42" s="42">
        <f>+'Renseignements salarié'!C59</f>
        <v>0</v>
      </c>
      <c r="C42" s="42">
        <f>+'Renseignements salarié'!D59</f>
        <v>0</v>
      </c>
      <c r="D42" s="5"/>
      <c r="E42" s="537">
        <f>E216</f>
        <v>0</v>
      </c>
      <c r="F42" s="538"/>
      <c r="G42" s="539"/>
    </row>
    <row r="43" spans="1:7" ht="15">
      <c r="A43" s="40" t="str">
        <f>+'Renseignements salarié'!B60</f>
        <v/>
      </c>
      <c r="B43" s="42">
        <f>+'Renseignements salarié'!C60</f>
        <v>0</v>
      </c>
      <c r="C43" s="42">
        <f>+'Renseignements salarié'!D60</f>
        <v>0</v>
      </c>
      <c r="D43" s="5"/>
      <c r="E43" s="3"/>
      <c r="F43" s="5"/>
      <c r="G43" s="3"/>
    </row>
    <row r="44" spans="1:7" ht="15">
      <c r="A44" s="46" t="s">
        <v>57</v>
      </c>
      <c r="B44" s="47">
        <f>SUM(B32:B43)</f>
        <v>0</v>
      </c>
      <c r="C44" s="47">
        <f>SUM(C32:C43)</f>
        <v>0</v>
      </c>
      <c r="D44" s="5"/>
      <c r="E44" s="446" t="s">
        <v>58</v>
      </c>
      <c r="F44" s="447"/>
      <c r="G44" s="448"/>
    </row>
    <row r="45" spans="1:7" ht="15">
      <c r="A45" s="48" t="s">
        <v>54</v>
      </c>
      <c r="B45" s="453">
        <f>(B44+C44)/COUNTA(B32:B43)</f>
        <v>0</v>
      </c>
      <c r="C45" s="454"/>
      <c r="D45" s="5"/>
      <c r="E45" s="511">
        <f>IF(B25="OUI",E42,MAX(B45,F36))</f>
        <v>0</v>
      </c>
      <c r="F45" s="512"/>
      <c r="G45" s="513"/>
    </row>
    <row r="46" spans="1:7" ht="15">
      <c r="A46" s="3"/>
      <c r="B46" s="3"/>
      <c r="C46" s="3"/>
      <c r="D46" s="5"/>
      <c r="E46" s="3"/>
      <c r="F46" s="5"/>
      <c r="G46" s="3"/>
    </row>
    <row r="47" spans="1:7" ht="15">
      <c r="A47" s="3"/>
      <c r="B47" s="5"/>
      <c r="C47" s="3"/>
      <c r="D47" s="3"/>
      <c r="E47" s="3"/>
      <c r="F47" s="5"/>
      <c r="G47" s="3"/>
    </row>
    <row r="48" spans="1:7" ht="15">
      <c r="A48" s="3"/>
      <c r="B48" s="3"/>
      <c r="C48" s="5"/>
      <c r="D48" s="5"/>
      <c r="E48" s="3"/>
      <c r="F48" s="5"/>
      <c r="G48" s="3"/>
    </row>
    <row r="49" spans="1:10">
      <c r="A49" s="482" t="s">
        <v>59</v>
      </c>
      <c r="B49" s="483"/>
      <c r="C49" s="483"/>
      <c r="D49" s="483"/>
      <c r="E49" s="483"/>
      <c r="F49" s="483"/>
      <c r="G49" s="483"/>
      <c r="H49" s="483"/>
      <c r="I49" s="484"/>
      <c r="J49" s="49"/>
    </row>
    <row r="50" spans="1:10" ht="15">
      <c r="A50" s="50"/>
      <c r="B50" s="51"/>
      <c r="C50" s="52"/>
      <c r="D50" s="53"/>
      <c r="E50" s="54"/>
      <c r="F50" s="52"/>
      <c r="G50" s="51"/>
      <c r="H50" s="51"/>
      <c r="I50" s="55"/>
      <c r="J50" s="3"/>
    </row>
    <row r="51" spans="1:10" ht="15">
      <c r="A51" s="56" t="s">
        <v>60</v>
      </c>
      <c r="B51" s="16"/>
      <c r="C51" s="15"/>
      <c r="D51" s="57"/>
      <c r="E51" s="56" t="s">
        <v>61</v>
      </c>
      <c r="F51" s="15"/>
      <c r="G51" s="16"/>
      <c r="H51" s="16"/>
      <c r="I51" s="58"/>
      <c r="J51" s="3"/>
    </row>
    <row r="52" spans="1:10">
      <c r="A52" s="59" cm="1">
        <f t="array" ref="A52">IFERROR(INDEX(CritèresConventionsCollectives!$B$2:$B$25,SMALL(IF(CritèresConventionsCollectives!$A$2:$A$25='Renseignements salarié'!D21,ROW(CritèresConventionsCollectives!$A$2:$A$25)-1),ROW()-51)),"")</f>
        <v>0</v>
      </c>
      <c r="B52" s="60"/>
      <c r="C52" s="61"/>
      <c r="D52" s="62"/>
      <c r="E52" s="59" t="s">
        <v>63</v>
      </c>
      <c r="F52" s="63"/>
      <c r="G52" s="27"/>
      <c r="H52" s="27"/>
      <c r="I52" s="64"/>
      <c r="J52" s="24"/>
    </row>
    <row r="53" spans="1:10">
      <c r="A53" s="59" t="str" cm="1">
        <f t="array" ref="A53">IFERROR(INDEX(CritèresConventionsCollectives!$B$2:$B$25,SMALL(IF(CritèresConventionsCollectives!$A$2:$A$25='Renseignements salarié'!D21,ROW(CritèresConventionsCollectives!$A$2:$A$25)-1),ROW()-51)),"")</f>
        <v/>
      </c>
      <c r="B53" s="60"/>
      <c r="C53" s="66"/>
      <c r="D53" s="62"/>
      <c r="E53" s="65" t="s">
        <v>65</v>
      </c>
      <c r="F53" s="63"/>
      <c r="G53" s="24"/>
      <c r="H53" s="24"/>
      <c r="I53" s="64"/>
      <c r="J53" s="24"/>
    </row>
    <row r="54" spans="1:10">
      <c r="A54" s="59" t="str" cm="1">
        <f t="array" ref="A54">IFERROR(INDEX(CritèresConventionsCollectives!$B$2:$B$25,SMALL(IF(CritèresConventionsCollectives!$A$2:$A$25='Renseignements salarié'!D21,ROW(CritèresConventionsCollectives!$A$2:$A$25)-1),ROW()-51)),"")</f>
        <v/>
      </c>
      <c r="B54" s="60"/>
      <c r="C54" s="66"/>
      <c r="D54" s="62"/>
      <c r="E54" s="65"/>
      <c r="F54" s="63"/>
      <c r="G54" s="24"/>
      <c r="H54" s="24"/>
      <c r="I54" s="64"/>
      <c r="J54" s="24"/>
    </row>
    <row r="55" spans="1:10">
      <c r="A55" s="59" t="str" cm="1">
        <f t="array" ref="A55">IFERROR(INDEX(CritèresConventionsCollectives!$B$2:$B$25,SMALL(IF(CritèresConventionsCollectives!$A$2:$A$25='Renseignements salarié'!D21,ROW(CritèresConventionsCollectives!$A$2:$A$25)-1),ROW()-51)),"")</f>
        <v/>
      </c>
      <c r="B55" s="60"/>
      <c r="C55" s="60"/>
      <c r="D55" s="67"/>
      <c r="E55" s="65"/>
      <c r="F55" s="63"/>
      <c r="G55" s="24"/>
      <c r="H55" s="24"/>
      <c r="I55" s="64"/>
      <c r="J55" s="24"/>
    </row>
    <row r="56" spans="1:10" ht="15">
      <c r="A56" s="59" t="str" cm="1">
        <f t="array" ref="A56">IFERROR(INDEX(CritèresConventionsCollectives!$B$2:$B$25,SMALL(IF(CritèresConventionsCollectives!$A$2:$A$25='Renseignements salarié'!D21,ROW(CritèresConventionsCollectives!$A$2:$A$25)-1),ROW()-51)),"")</f>
        <v/>
      </c>
      <c r="B56" s="69"/>
      <c r="C56" s="70"/>
      <c r="D56" s="71"/>
      <c r="E56" s="68"/>
      <c r="F56" s="72"/>
      <c r="G56" s="69"/>
      <c r="H56" s="69"/>
      <c r="I56" s="73"/>
      <c r="J56" s="3"/>
    </row>
    <row r="57" spans="1:10" ht="15">
      <c r="A57" s="54"/>
      <c r="B57" s="51"/>
      <c r="C57" s="51"/>
      <c r="D57" s="74"/>
      <c r="E57" s="51"/>
      <c r="F57" s="52"/>
      <c r="G57" s="51"/>
      <c r="H57" s="51"/>
      <c r="I57" s="74"/>
      <c r="J57" s="75"/>
    </row>
    <row r="58" spans="1:10" ht="15">
      <c r="A58" s="505" cm="1">
        <f t="array" ref="A58">IFERROR(INDEX(CritèresConventionsCollectives!$C$2:$C$25,SMALL(IF(CritèresConventionsCollectives!$A$2:$A$25='Renseignements salarié'!$D$21,ROW(CritèresConventionsCollectives!$A$2:$A$25)-1),ROW()-57)),"")</f>
        <v>0</v>
      </c>
      <c r="B58" s="506"/>
      <c r="C58" s="507"/>
      <c r="D58" s="335" t="e" cm="1">
        <f t="array" ref="D58">IF(A58="","",SUBSTITUTE(INDEX(CritèresConventionsCollectives!$D$2:$D$25,SMALL(IF(CritèresConventionsCollectives!$A$2:$A$25='Renseignements salarié'!$D$21,ROW(CritèresConventionsCollectives!$A$2:$A$25)-1),ROW()-57)),"'","")*1)</f>
        <v>#VALUE!</v>
      </c>
      <c r="E58" s="78"/>
      <c r="F58" s="79"/>
      <c r="G58" s="79"/>
      <c r="H58" s="79"/>
      <c r="I58" s="77"/>
      <c r="J58" s="75"/>
    </row>
    <row r="59" spans="1:10" ht="30" customHeight="1">
      <c r="A59" s="508" t="str" cm="1">
        <f t="array" ref="A59">IFERROR(INDEX(CritèresConventionsCollectives!$C$2:$C$25,SMALL(IF(CritèresConventionsCollectives!$A$2:$A$25='Renseignements salarié'!$D$21,ROW(CritèresConventionsCollectives!$A$2:$A$25)-1),ROW()-57)),"")</f>
        <v/>
      </c>
      <c r="B59" s="509"/>
      <c r="C59" s="510"/>
      <c r="D59" s="335" t="str" cm="1">
        <f t="array" ref="D59">IF(A59="","",SUBSTITUTE(INDEX(CritèresConventionsCollectives!$D$2:$D$25,SMALL(IF(CritèresConventionsCollectives!$A$2:$A$25='Renseignements salarié'!$D$21,ROW(CritèresConventionsCollectives!$A$2:$A$25)-1),ROW()-57)),"'","")*1)</f>
        <v/>
      </c>
      <c r="E59" s="413" t="s">
        <v>68</v>
      </c>
      <c r="F59" s="414"/>
      <c r="G59" s="414"/>
      <c r="H59" s="415"/>
      <c r="I59" s="77" t="e">
        <f>IF($E$42="",IF($F$16&lt;0.67,0,IF($F$16&lt;10,E45/4*$F$16,E45/4*10)),IF($F$16&lt;0.67,0,IF($F$16&lt;10,E42/4*$F$16,E42/4*10)))</f>
        <v>#VALUE!</v>
      </c>
      <c r="J59" s="354" t="s">
        <v>270</v>
      </c>
    </row>
    <row r="60" spans="1:10" ht="25.5" customHeight="1">
      <c r="A60" s="508" t="str" cm="1">
        <f t="array" ref="A60">IFERROR(INDEX(CritèresConventionsCollectives!$C$2:$C$25,SMALL(IF(CritèresConventionsCollectives!$A$2:$A$25='Renseignements salarié'!$D$21,ROW(CritèresConventionsCollectives!$A$2:$A$25)-1),ROW()-57)),"")</f>
        <v/>
      </c>
      <c r="B60" s="509"/>
      <c r="C60" s="510"/>
      <c r="D60" s="335" t="str" cm="1">
        <f t="array" ref="D60">IF(A60="","",SUBSTITUTE(INDEX(CritèresConventionsCollectives!$D$2:$D$25,SMALL(IF(CritèresConventionsCollectives!$A$2:$A$25='Renseignements salarié'!$D$21,ROW(CritèresConventionsCollectives!$A$2:$A$25)-1),ROW()-57)),"'","")*1)</f>
        <v/>
      </c>
      <c r="E60" s="416" t="s">
        <v>69</v>
      </c>
      <c r="F60" s="417"/>
      <c r="G60" s="417"/>
      <c r="H60" s="418"/>
      <c r="I60" s="77" t="e">
        <f>IF(E42="",IF(F16&lt;0.67,0,IF($F$16&gt;=10,($F$16-10)*(E45*1/3),0)),IF(F16&lt;0.67,0,IF($F$16&gt;=10,($F$16-10)*(E42*1/3),0)))</f>
        <v>#VALUE!</v>
      </c>
      <c r="J60" s="75"/>
    </row>
    <row r="61" spans="1:10" ht="15">
      <c r="A61" s="508" t="str" cm="1">
        <f t="array" ref="A61">IFERROR(INDEX(CritèresConventionsCollectives!$C$2:$C$25,SMALL(IF(CritèresConventionsCollectives!$A$2:$A$25='Renseignements salarié'!$D$21,ROW(CritèresConventionsCollectives!$A$2:$A$25)-1),ROW()-57)),"")</f>
        <v/>
      </c>
      <c r="B61" s="509"/>
      <c r="C61" s="510"/>
      <c r="D61" s="335" t="str" cm="1">
        <f t="array" ref="D61">IF(A61="","",SUBSTITUTE(INDEX(CritèresConventionsCollectives!$D$2:$D$25,SMALL(IF(CritèresConventionsCollectives!$A$2:$A$25='Renseignements salarié'!$D$21,ROW(CritèresConventionsCollectives!$A$2:$A$25)-1),ROW()-57)),"'","")*1)</f>
        <v/>
      </c>
      <c r="E61" s="80"/>
      <c r="F61" s="76"/>
      <c r="G61" s="79"/>
      <c r="H61" s="79"/>
      <c r="I61" s="77"/>
      <c r="J61" s="75"/>
    </row>
    <row r="62" spans="1:10" ht="15">
      <c r="A62" s="485" t="str" cm="1">
        <f t="array" ref="A62">IFERROR(INDEX(CritèresConventionsCollectives!$C$2:$C$25,SMALL(IF(CritèresConventionsCollectives!$A$2:$A$25='Renseignements salarié'!$D$21,ROW(CritèresConventionsCollectives!$A$2:$A$25)-1),ROW()-57)),"")</f>
        <v/>
      </c>
      <c r="B62" s="486"/>
      <c r="C62" s="487"/>
      <c r="D62" s="335" t="str" cm="1">
        <f t="array" ref="D62">IF(A62="","",SUBSTITUTE(INDEX(CritèresConventionsCollectives!$D$2:$D$25,SMALL(IF(CritèresConventionsCollectives!$A$2:$A$25='Renseignements salarié'!$D$21,ROW(CritèresConventionsCollectives!$A$2:$A$25)-1),ROW()-57)),"'","")*1)</f>
        <v/>
      </c>
      <c r="E62" s="488"/>
      <c r="F62" s="489"/>
      <c r="G62" s="489"/>
      <c r="H62" s="81"/>
      <c r="I62" s="82"/>
      <c r="J62" s="83"/>
    </row>
    <row r="63" spans="1:10" ht="15">
      <c r="A63" s="410" t="str" cm="1">
        <f t="array" ref="A63">IFERROR(INDEX(CritèresConventionsCollectives!$C$2:$C$25,SMALL(IF(CritèresConventionsCollectives!$A$2:$A$25='Renseignements salarié'!$D$21,ROW(CritèresConventionsCollectives!$A$2:$A$25)-1),ROW()-57)),"")</f>
        <v/>
      </c>
      <c r="B63" s="411"/>
      <c r="C63" s="412"/>
      <c r="D63" s="335" t="str" cm="1">
        <f t="array" ref="D63">IFERROR(INDEX(CritèresConventionsCollectives!$D$2:$D$25,SMALL(IF(CritèresConventionsCollectives!$A$2:$A$25='Renseignements salarié'!$D$21,ROW(CritèresConventionsCollectives!$A$2:$A$25)-1),ROW()-56)),"")</f>
        <v/>
      </c>
      <c r="E63" s="84"/>
      <c r="F63" s="85"/>
      <c r="G63" s="85"/>
      <c r="H63" s="85"/>
      <c r="I63" s="86"/>
      <c r="J63" s="83"/>
    </row>
    <row r="64" spans="1:10">
      <c r="A64" s="490" t="s">
        <v>37</v>
      </c>
      <c r="B64" s="490"/>
      <c r="C64" s="490"/>
      <c r="D64" s="349" t="e">
        <f>ROUND((SUM(D58:D62)),2)</f>
        <v>#VALUE!</v>
      </c>
      <c r="E64" s="491" t="s">
        <v>71</v>
      </c>
      <c r="F64" s="492"/>
      <c r="G64" s="492"/>
      <c r="H64" s="493"/>
      <c r="I64" s="349" t="e">
        <f>IF('Renseignements salarié'!$D$20="NON",SUM($I$59+$I$60),SUM(($I$59+$I$60)*2))</f>
        <v>#VALUE!</v>
      </c>
      <c r="J64" s="83"/>
    </row>
    <row r="65" spans="1:10">
      <c r="A65" s="87"/>
      <c r="B65" s="88"/>
      <c r="C65" s="88"/>
      <c r="D65" s="89"/>
      <c r="E65" s="81"/>
      <c r="F65" s="81"/>
      <c r="G65" s="494" t="str">
        <f>IF('Renseignements salarié'!D20="OUI","Légale doublée si Inaptitude Professionnelle","")</f>
        <v/>
      </c>
      <c r="H65" s="494"/>
      <c r="I65" s="495"/>
      <c r="J65" s="83"/>
    </row>
    <row r="66" spans="1:10">
      <c r="A66" s="496" t="s">
        <v>72</v>
      </c>
      <c r="B66" s="497"/>
      <c r="C66" s="497"/>
      <c r="D66" s="497"/>
      <c r="E66" s="497"/>
      <c r="F66" s="497"/>
      <c r="G66" s="497"/>
      <c r="H66" s="497"/>
      <c r="I66" s="498"/>
      <c r="J66" s="88"/>
    </row>
    <row r="67" spans="1:10" ht="15.75">
      <c r="A67" s="499" t="e">
        <f>IF(D64&gt;I64,D64,I64)</f>
        <v>#VALUE!</v>
      </c>
      <c r="B67" s="500"/>
      <c r="C67" s="500"/>
      <c r="D67" s="500"/>
      <c r="E67" s="500"/>
      <c r="F67" s="500"/>
      <c r="G67" s="500"/>
      <c r="H67" s="500"/>
      <c r="I67" s="501"/>
      <c r="J67" s="90"/>
    </row>
    <row r="68" spans="1:10" ht="15.75" thickBot="1">
      <c r="A68" s="3"/>
      <c r="B68" s="3"/>
      <c r="C68" s="3"/>
      <c r="D68" s="3"/>
      <c r="E68" s="91"/>
      <c r="F68" s="3"/>
      <c r="G68" s="3"/>
      <c r="H68" s="3"/>
      <c r="I68" s="3"/>
      <c r="J68" s="3"/>
    </row>
    <row r="69" spans="1:10" ht="31.5" customHeight="1" thickTop="1">
      <c r="A69" s="92"/>
      <c r="B69" s="93"/>
      <c r="C69" s="93"/>
      <c r="D69" s="93"/>
      <c r="E69" s="94"/>
      <c r="F69" s="3"/>
      <c r="G69" s="502" t="s">
        <v>73</v>
      </c>
      <c r="H69" s="502"/>
      <c r="I69" s="95"/>
      <c r="J69" s="3"/>
    </row>
    <row r="70" spans="1:10" ht="18.75">
      <c r="A70" s="96"/>
      <c r="B70" s="97"/>
      <c r="C70" s="97"/>
      <c r="D70" s="97"/>
      <c r="E70" s="98"/>
      <c r="F70" s="3"/>
      <c r="G70" s="503" t="s">
        <v>74</v>
      </c>
      <c r="H70" s="503"/>
      <c r="I70" s="99" t="str">
        <f>IF(I69="","",$I$69-$A$67)</f>
        <v/>
      </c>
      <c r="J70" s="3"/>
    </row>
    <row r="71" spans="1:10" ht="15">
      <c r="A71" s="100" t="s">
        <v>75</v>
      </c>
      <c r="B71" s="504"/>
      <c r="C71" s="504"/>
      <c r="D71" s="101" t="s">
        <v>76</v>
      </c>
      <c r="E71" s="102">
        <f>B71/24</f>
        <v>0</v>
      </c>
      <c r="F71" s="3"/>
      <c r="G71" s="3"/>
      <c r="H71" s="3"/>
      <c r="I71" s="3"/>
      <c r="J71" s="3"/>
    </row>
    <row r="72" spans="1:10" ht="15">
      <c r="A72" s="103"/>
      <c r="B72" s="104"/>
      <c r="C72" s="105"/>
      <c r="D72" s="106"/>
      <c r="E72" s="107"/>
      <c r="F72" s="3"/>
      <c r="G72" s="3"/>
      <c r="H72" s="3"/>
      <c r="I72" s="3"/>
      <c r="J72" s="3"/>
    </row>
    <row r="73" spans="1:10" ht="15">
      <c r="A73" s="100" t="s">
        <v>77</v>
      </c>
      <c r="B73" s="108"/>
      <c r="C73" s="108"/>
      <c r="D73" s="108"/>
      <c r="E73" s="109"/>
      <c r="F73" s="3"/>
      <c r="G73" s="3"/>
      <c r="H73" s="3"/>
      <c r="I73" s="3"/>
      <c r="J73" s="3"/>
    </row>
    <row r="74" spans="1:10" ht="15">
      <c r="A74" s="110"/>
      <c r="B74" s="106"/>
      <c r="C74" s="106"/>
      <c r="D74" s="106"/>
      <c r="E74" s="109"/>
      <c r="F74" s="3"/>
      <c r="G74" s="3"/>
      <c r="H74" s="3"/>
      <c r="I74" s="3"/>
      <c r="J74" s="3"/>
    </row>
    <row r="75" spans="1:10" ht="15">
      <c r="A75" s="103"/>
      <c r="B75" s="104"/>
      <c r="C75" s="104"/>
      <c r="D75" s="111" t="s">
        <v>78</v>
      </c>
      <c r="E75" s="107"/>
      <c r="F75" s="3"/>
      <c r="G75" s="3"/>
      <c r="H75" s="3"/>
      <c r="I75" s="3"/>
      <c r="J75" s="3"/>
    </row>
    <row r="76" spans="1:10" ht="15.75" thickBot="1">
      <c r="A76" s="112"/>
      <c r="B76" s="113"/>
      <c r="C76" s="113"/>
      <c r="D76" s="113"/>
      <c r="E76" s="114"/>
      <c r="F76" s="3"/>
      <c r="G76" s="3"/>
      <c r="H76" s="3"/>
      <c r="I76" s="3"/>
      <c r="J76" s="3"/>
    </row>
    <row r="77" spans="1:10" ht="15.75" thickTop="1">
      <c r="A77" s="3"/>
      <c r="B77" s="3"/>
      <c r="C77" s="3"/>
      <c r="D77" s="3"/>
      <c r="E77" s="3"/>
      <c r="F77" s="3"/>
      <c r="G77" s="3"/>
      <c r="H77" s="3"/>
      <c r="I77" s="3"/>
      <c r="J77" s="3"/>
    </row>
    <row r="114" spans="1:11" ht="15.75" thickBot="1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</row>
    <row r="115" spans="1:11" ht="18.75" thickBot="1">
      <c r="A115" s="479" t="s">
        <v>79</v>
      </c>
      <c r="B115" s="480"/>
      <c r="C115" s="480"/>
      <c r="D115" s="480"/>
      <c r="E115" s="480"/>
      <c r="F115" s="480"/>
      <c r="G115" s="480"/>
      <c r="H115" s="480"/>
      <c r="I115" s="480"/>
      <c r="J115" s="480"/>
      <c r="K115" s="481"/>
    </row>
    <row r="116" spans="1:11" ht="18">
      <c r="A116" s="115"/>
      <c r="B116" s="116"/>
      <c r="C116" s="116"/>
      <c r="D116" s="116"/>
      <c r="E116" s="116"/>
      <c r="F116" s="116"/>
      <c r="G116" s="116"/>
      <c r="H116" s="116"/>
      <c r="I116" s="116"/>
      <c r="J116" s="116"/>
      <c r="K116" s="116"/>
    </row>
    <row r="117" spans="1:11" ht="18">
      <c r="A117" s="117" t="s">
        <v>80</v>
      </c>
      <c r="B117" s="118">
        <f>+B16</f>
        <v>0</v>
      </c>
      <c r="C117" s="116"/>
      <c r="D117" s="116"/>
      <c r="E117" s="116"/>
      <c r="F117" s="116"/>
      <c r="G117" s="116"/>
      <c r="H117" s="116"/>
      <c r="I117" s="116"/>
      <c r="J117" s="116"/>
      <c r="K117" s="116"/>
    </row>
    <row r="118" spans="1:11" ht="15">
      <c r="A118" s="117" t="s">
        <v>81</v>
      </c>
      <c r="B118" s="119">
        <f>+B17</f>
        <v>0</v>
      </c>
      <c r="C118" s="120"/>
      <c r="D118" s="121"/>
      <c r="E118" s="3"/>
      <c r="F118" s="3"/>
      <c r="G118" s="3"/>
      <c r="H118" s="3"/>
      <c r="I118" s="3"/>
      <c r="J118" s="3"/>
      <c r="K118" s="3"/>
    </row>
    <row r="119" spans="1:11" ht="15">
      <c r="A119" s="16" t="s">
        <v>82</v>
      </c>
      <c r="B119" s="119">
        <f>+B18</f>
        <v>0</v>
      </c>
      <c r="C119" s="3"/>
      <c r="D119" s="121"/>
      <c r="E119" s="3"/>
      <c r="F119" s="3"/>
      <c r="G119" s="3"/>
      <c r="H119" s="3"/>
      <c r="I119" s="3"/>
      <c r="J119" s="3"/>
      <c r="K119" s="3"/>
    </row>
    <row r="120" spans="1:11" ht="15">
      <c r="A120" s="3"/>
      <c r="B120" s="122"/>
      <c r="C120" s="3"/>
      <c r="D120" s="121"/>
      <c r="E120" s="3"/>
      <c r="F120" s="123"/>
      <c r="G120" s="3"/>
      <c r="H120" s="3"/>
      <c r="I120" s="3"/>
      <c r="J120" s="3"/>
      <c r="K120" s="3"/>
    </row>
    <row r="121" spans="1:11" ht="15">
      <c r="A121" s="124"/>
      <c r="B121" s="125"/>
      <c r="C121" s="124"/>
      <c r="D121" s="126"/>
      <c r="E121" s="124"/>
      <c r="F121" s="124"/>
      <c r="G121" s="124"/>
      <c r="H121" s="124"/>
      <c r="I121" s="3"/>
      <c r="J121" s="3"/>
      <c r="K121" s="3"/>
    </row>
    <row r="122" spans="1:11" ht="15">
      <c r="A122" s="127"/>
      <c r="B122" s="128"/>
      <c r="C122" s="124"/>
      <c r="D122" s="126"/>
      <c r="E122" s="124"/>
      <c r="F122" s="124"/>
      <c r="G122" s="124"/>
      <c r="H122" s="124"/>
      <c r="I122" s="3"/>
      <c r="J122" s="3"/>
      <c r="K122" s="3"/>
    </row>
    <row r="123" spans="1:11" ht="15">
      <c r="A123" s="129" t="s">
        <v>83</v>
      </c>
      <c r="B123" s="130">
        <f>+E71*12</f>
        <v>0</v>
      </c>
      <c r="C123" s="124"/>
      <c r="D123" s="126"/>
      <c r="E123" s="124"/>
      <c r="F123" s="124"/>
      <c r="G123" s="124"/>
      <c r="H123" s="124"/>
      <c r="I123" s="3"/>
      <c r="J123" s="3"/>
      <c r="K123" s="3"/>
    </row>
    <row r="124" spans="1:11" ht="15">
      <c r="A124" s="131"/>
      <c r="B124" s="132"/>
      <c r="C124" s="131"/>
      <c r="D124" s="131"/>
      <c r="E124" s="124"/>
      <c r="F124" s="133"/>
      <c r="G124" s="3"/>
      <c r="H124" s="3"/>
      <c r="I124" s="3"/>
      <c r="J124" s="134"/>
      <c r="K124" s="3"/>
    </row>
    <row r="125" spans="1:11" ht="15">
      <c r="A125" s="34" t="s">
        <v>84</v>
      </c>
      <c r="B125" s="135">
        <f>+C27</f>
        <v>0</v>
      </c>
      <c r="C125" s="124"/>
      <c r="D125" s="126"/>
      <c r="E125" s="124"/>
      <c r="F125" s="124"/>
      <c r="G125" s="124"/>
      <c r="H125" s="124"/>
      <c r="I125" s="3"/>
      <c r="J125" s="3"/>
      <c r="K125" s="3"/>
    </row>
    <row r="126" spans="1:11" ht="15">
      <c r="A126" s="131"/>
      <c r="B126" s="132"/>
      <c r="C126" s="131"/>
      <c r="D126" s="131"/>
      <c r="E126" s="124"/>
      <c r="F126" s="133"/>
      <c r="G126" s="3"/>
      <c r="H126" s="3"/>
      <c r="I126" s="3"/>
      <c r="J126" s="134"/>
      <c r="K126" s="3"/>
    </row>
    <row r="127" spans="1:11" ht="15">
      <c r="A127" s="136" t="s">
        <v>85</v>
      </c>
      <c r="B127" s="137" t="s">
        <v>86</v>
      </c>
      <c r="C127" s="124"/>
      <c r="D127" s="126"/>
      <c r="E127" s="124"/>
      <c r="F127" s="124"/>
      <c r="G127" s="124"/>
      <c r="H127" s="124"/>
      <c r="I127" s="3"/>
      <c r="J127" s="3"/>
      <c r="K127" s="3"/>
    </row>
    <row r="128" spans="1:11" ht="15">
      <c r="A128" s="131" t="s">
        <v>48</v>
      </c>
      <c r="B128" s="131"/>
      <c r="C128" s="131"/>
      <c r="D128" s="131"/>
      <c r="E128" s="124"/>
      <c r="F128" s="133"/>
      <c r="G128" s="3"/>
      <c r="H128" s="3"/>
      <c r="I128" s="3"/>
      <c r="J128" s="134"/>
      <c r="K128" s="3"/>
    </row>
    <row r="129" spans="1:11" ht="15">
      <c r="A129" s="472" t="s">
        <v>87</v>
      </c>
      <c r="B129" s="472"/>
      <c r="C129" s="472"/>
      <c r="D129" s="472"/>
      <c r="E129" s="124"/>
      <c r="F129" s="138"/>
      <c r="G129" s="3"/>
      <c r="H129" s="3"/>
      <c r="I129" s="3"/>
      <c r="J129" s="134"/>
      <c r="K129" s="3"/>
    </row>
    <row r="130" spans="1:11" ht="15">
      <c r="A130" s="131"/>
      <c r="B130" s="131"/>
      <c r="C130" s="131"/>
      <c r="D130" s="131"/>
      <c r="E130" s="124"/>
      <c r="F130" s="133"/>
      <c r="G130" s="3"/>
      <c r="H130" s="3"/>
      <c r="I130" s="3"/>
      <c r="J130" s="134"/>
      <c r="K130" s="3"/>
    </row>
    <row r="131" spans="1:11" ht="30" customHeight="1">
      <c r="A131" s="473" t="s">
        <v>88</v>
      </c>
      <c r="B131" s="473"/>
      <c r="C131" s="473"/>
      <c r="D131" s="473"/>
      <c r="E131" s="139"/>
      <c r="F131" s="138">
        <f>+SUM($B$44:$C$44)</f>
        <v>0</v>
      </c>
      <c r="G131" s="140" t="s">
        <v>89</v>
      </c>
      <c r="H131" s="140"/>
      <c r="I131" s="474" t="s">
        <v>90</v>
      </c>
      <c r="J131" s="474"/>
      <c r="K131" s="474"/>
    </row>
    <row r="132" spans="1:11" ht="15">
      <c r="A132" s="131"/>
      <c r="B132" s="131"/>
      <c r="C132" s="131"/>
      <c r="D132" s="131"/>
      <c r="E132" s="124"/>
      <c r="F132" s="133"/>
      <c r="G132" s="3"/>
      <c r="H132" s="3"/>
      <c r="I132" s="141" t="s">
        <v>91</v>
      </c>
      <c r="J132" s="134"/>
      <c r="K132" s="3"/>
    </row>
    <row r="133" spans="1:11" ht="15">
      <c r="A133" s="475" t="s">
        <v>92</v>
      </c>
      <c r="B133" s="475"/>
      <c r="C133" s="475"/>
      <c r="D133" s="475"/>
      <c r="E133" s="126"/>
      <c r="F133" s="138" t="e">
        <f>A67</f>
        <v>#VALUE!</v>
      </c>
      <c r="G133" s="3"/>
      <c r="H133" s="3"/>
      <c r="I133" s="3"/>
      <c r="J133" s="3"/>
      <c r="K133" s="3"/>
    </row>
    <row r="134" spans="1:11" ht="15">
      <c r="A134" s="131"/>
      <c r="B134" s="131"/>
      <c r="C134" s="131"/>
      <c r="D134" s="131"/>
      <c r="E134" s="124"/>
      <c r="F134" s="133"/>
      <c r="G134" s="3"/>
      <c r="H134" s="3"/>
      <c r="I134" s="3"/>
      <c r="J134" s="134"/>
      <c r="K134" s="3"/>
    </row>
    <row r="135" spans="1:11" ht="15">
      <c r="A135" s="75"/>
      <c r="B135" s="121"/>
      <c r="C135" s="121"/>
      <c r="D135" s="121"/>
      <c r="E135" s="121"/>
      <c r="F135" s="121"/>
      <c r="G135" s="121"/>
      <c r="H135" s="121"/>
      <c r="I135" s="3"/>
      <c r="J135" s="3"/>
      <c r="K135" s="3"/>
    </row>
    <row r="136" spans="1:11">
      <c r="A136" s="446" t="s">
        <v>93</v>
      </c>
      <c r="B136" s="447"/>
      <c r="C136" s="447"/>
      <c r="D136" s="447"/>
      <c r="E136" s="447"/>
      <c r="F136" s="447"/>
      <c r="G136" s="447"/>
      <c r="H136" s="447"/>
      <c r="I136" s="448"/>
      <c r="J136" s="16"/>
      <c r="K136" s="16"/>
    </row>
    <row r="137" spans="1:11">
      <c r="A137" s="466" t="s">
        <v>94</v>
      </c>
      <c r="B137" s="467"/>
      <c r="C137" s="467"/>
      <c r="D137" s="467"/>
      <c r="E137" s="467"/>
      <c r="F137" s="467"/>
      <c r="G137" s="467"/>
      <c r="H137" s="467"/>
      <c r="I137" s="468"/>
      <c r="J137" s="16"/>
      <c r="K137" s="16"/>
    </row>
    <row r="138" spans="1:11" ht="13.5" thickBot="1">
      <c r="A138" s="142"/>
      <c r="B138" s="143"/>
      <c r="C138" s="476" t="s">
        <v>95</v>
      </c>
      <c r="D138" s="477"/>
      <c r="E138" s="144"/>
      <c r="F138" s="145" t="s">
        <v>96</v>
      </c>
      <c r="G138" s="146" t="s">
        <v>97</v>
      </c>
      <c r="H138" s="147"/>
      <c r="I138" s="148" t="s">
        <v>98</v>
      </c>
      <c r="J138" s="149"/>
      <c r="K138" s="124"/>
    </row>
    <row r="139" spans="1:11" ht="31.5" thickTop="1" thickBot="1">
      <c r="A139" s="150" t="s">
        <v>99</v>
      </c>
      <c r="B139" s="151">
        <f>+F131*2</f>
        <v>0</v>
      </c>
      <c r="C139" s="478" t="str">
        <f>IF(B127="MISE A LA RETRAITE","5 PASS","6 PASS")</f>
        <v>6 PASS</v>
      </c>
      <c r="D139" s="460">
        <f>IF(B127="MISE A LA RETRAITE",5*B123*12,6*B123*12)</f>
        <v>0</v>
      </c>
      <c r="E139" s="152">
        <f>IF(B139&gt;=D139,D139,B139)</f>
        <v>0</v>
      </c>
      <c r="F139" s="462" t="e">
        <f>MAX(E139:E141)</f>
        <v>#VALUE!</v>
      </c>
      <c r="G139" s="442" t="e">
        <f>IF(F129&lt;=F139,"EXO","IMPOSABLE")</f>
        <v>#VALUE!</v>
      </c>
      <c r="H139" s="392"/>
      <c r="I139" s="471" t="e">
        <f>IF(F129&lt;=F139,0,(F129-F139))</f>
        <v>#VALUE!</v>
      </c>
      <c r="J139" s="153"/>
      <c r="K139" s="3"/>
    </row>
    <row r="140" spans="1:11" ht="46.5" customHeight="1" thickTop="1" thickBot="1">
      <c r="A140" s="150" t="s">
        <v>100</v>
      </c>
      <c r="B140" s="151">
        <f>+F129/2</f>
        <v>0</v>
      </c>
      <c r="C140" s="459"/>
      <c r="D140" s="461"/>
      <c r="E140" s="152">
        <f>IF(B140&gt;=D139,D139,B140)</f>
        <v>0</v>
      </c>
      <c r="F140" s="463"/>
      <c r="G140" s="442"/>
      <c r="H140" s="392"/>
      <c r="I140" s="471"/>
      <c r="J140" s="153"/>
      <c r="K140" s="3"/>
    </row>
    <row r="141" spans="1:11" ht="31.5" thickTop="1" thickBot="1">
      <c r="A141" s="154" t="s">
        <v>101</v>
      </c>
      <c r="B141" s="155" t="e">
        <f>+F133</f>
        <v>#VALUE!</v>
      </c>
      <c r="C141" s="156" t="s">
        <v>102</v>
      </c>
      <c r="D141" s="157" t="e">
        <f>+B141</f>
        <v>#VALUE!</v>
      </c>
      <c r="E141" s="158" t="e">
        <f>+D141</f>
        <v>#VALUE!</v>
      </c>
      <c r="F141" s="464"/>
      <c r="G141" s="442"/>
      <c r="H141" s="392"/>
      <c r="I141" s="471"/>
      <c r="J141" s="153"/>
      <c r="K141" s="3"/>
    </row>
    <row r="142" spans="1:11" ht="16.5" thickTop="1" thickBot="1">
      <c r="A142" s="159"/>
      <c r="B142" s="160"/>
      <c r="C142" s="161"/>
      <c r="D142" s="162"/>
      <c r="E142" s="121"/>
      <c r="F142" s="162"/>
      <c r="G142" s="442" t="s">
        <v>103</v>
      </c>
      <c r="H142" s="443"/>
      <c r="I142" s="444"/>
      <c r="J142" s="153"/>
      <c r="K142" s="3"/>
    </row>
    <row r="143" spans="1:11" ht="13.5" thickTop="1">
      <c r="A143" s="445"/>
      <c r="B143" s="445"/>
      <c r="C143" s="445"/>
      <c r="D143" s="445"/>
      <c r="E143" s="445"/>
      <c r="F143" s="445"/>
      <c r="G143" s="445"/>
      <c r="H143" s="445"/>
      <c r="I143" s="445"/>
      <c r="J143" s="163"/>
      <c r="K143" s="164"/>
    </row>
    <row r="144" spans="1:11">
      <c r="A144" s="446" t="s">
        <v>104</v>
      </c>
      <c r="B144" s="447"/>
      <c r="C144" s="447"/>
      <c r="D144" s="447"/>
      <c r="E144" s="447"/>
      <c r="F144" s="447"/>
      <c r="G144" s="447"/>
      <c r="H144" s="447"/>
      <c r="I144" s="447"/>
      <c r="J144" s="447"/>
      <c r="K144" s="448"/>
    </row>
    <row r="145" spans="1:11">
      <c r="A145" s="466" t="s">
        <v>94</v>
      </c>
      <c r="B145" s="467"/>
      <c r="C145" s="467"/>
      <c r="D145" s="467"/>
      <c r="E145" s="467"/>
      <c r="F145" s="467"/>
      <c r="G145" s="467"/>
      <c r="H145" s="467"/>
      <c r="I145" s="467"/>
      <c r="J145" s="467"/>
      <c r="K145" s="468"/>
    </row>
    <row r="146" spans="1:11" ht="13.5" thickBot="1">
      <c r="A146" s="165"/>
      <c r="B146" s="165"/>
      <c r="C146" s="469" t="s">
        <v>95</v>
      </c>
      <c r="D146" s="470"/>
      <c r="E146" s="144"/>
      <c r="F146" s="166" t="s">
        <v>96</v>
      </c>
      <c r="G146" s="167" t="s">
        <v>105</v>
      </c>
      <c r="H146" s="167"/>
      <c r="I146" s="167" t="s">
        <v>98</v>
      </c>
      <c r="J146" s="146" t="s">
        <v>105</v>
      </c>
      <c r="K146" s="148" t="s">
        <v>98</v>
      </c>
    </row>
    <row r="147" spans="1:11" ht="31.5" thickTop="1" thickBot="1">
      <c r="A147" s="168" t="s">
        <v>106</v>
      </c>
      <c r="B147" s="151">
        <f>+F131*2</f>
        <v>0</v>
      </c>
      <c r="C147" s="459" t="s">
        <v>107</v>
      </c>
      <c r="D147" s="460">
        <f>B123*12*2</f>
        <v>0</v>
      </c>
      <c r="E147" s="152">
        <f>IF(B147&gt;=D147,D147,B147)</f>
        <v>0</v>
      </c>
      <c r="F147" s="462" t="e">
        <f>MAX(E147:E149)</f>
        <v>#VALUE!</v>
      </c>
      <c r="G147" s="465" t="e">
        <f>IF(F129&lt;=F147,"EXO DE CHARGES CSG/CRDS","SOUMIS A CHARGES CSG/CRDS Base 100% une partie déductible l'autre non déductible")</f>
        <v>#VALUE!</v>
      </c>
      <c r="H147" s="393"/>
      <c r="I147" s="452" t="e">
        <f>IF(F129&lt;=F147,0,(F129-F147))</f>
        <v>#VALUE!</v>
      </c>
      <c r="J147" s="465" t="s">
        <v>108</v>
      </c>
      <c r="K147" s="452" t="e">
        <f xml:space="preserve"> F129-F133-I147</f>
        <v>#VALUE!</v>
      </c>
    </row>
    <row r="148" spans="1:11" ht="48.75" customHeight="1" thickTop="1" thickBot="1">
      <c r="A148" s="168" t="s">
        <v>100</v>
      </c>
      <c r="B148" s="151">
        <f>+F129/2</f>
        <v>0</v>
      </c>
      <c r="C148" s="459"/>
      <c r="D148" s="461"/>
      <c r="E148" s="152">
        <f>IF(B148&gt;=D147,D147,B148)</f>
        <v>0</v>
      </c>
      <c r="F148" s="463"/>
      <c r="G148" s="465"/>
      <c r="H148" s="393"/>
      <c r="I148" s="452"/>
      <c r="J148" s="465"/>
      <c r="K148" s="452"/>
    </row>
    <row r="149" spans="1:11" ht="31.5" thickTop="1" thickBot="1">
      <c r="A149" s="169" t="s">
        <v>101</v>
      </c>
      <c r="B149" s="155" t="e">
        <f>+F133</f>
        <v>#VALUE!</v>
      </c>
      <c r="C149" s="156" t="s">
        <v>107</v>
      </c>
      <c r="D149" s="157">
        <f>B123*12*2</f>
        <v>0</v>
      </c>
      <c r="E149" s="158" t="e">
        <f>IF(B149&gt;=D149,D149,B149)</f>
        <v>#VALUE!</v>
      </c>
      <c r="F149" s="464"/>
      <c r="G149" s="465"/>
      <c r="H149" s="393"/>
      <c r="I149" s="452"/>
      <c r="J149" s="465"/>
      <c r="K149" s="452"/>
    </row>
    <row r="150" spans="1:11" ht="16.5" thickTop="1" thickBot="1">
      <c r="A150" s="159"/>
      <c r="B150" s="170"/>
      <c r="C150" s="161"/>
      <c r="D150" s="171"/>
      <c r="E150" s="121"/>
      <c r="F150" s="171"/>
      <c r="G150" s="441" t="s">
        <v>103</v>
      </c>
      <c r="H150" s="441"/>
      <c r="I150" s="441"/>
      <c r="J150" s="441" t="s">
        <v>103</v>
      </c>
      <c r="K150" s="441"/>
    </row>
    <row r="151" spans="1:11" ht="15.75" thickTop="1">
      <c r="A151" s="3"/>
      <c r="B151" s="3"/>
      <c r="C151" s="3"/>
      <c r="D151" s="121"/>
      <c r="E151" s="3"/>
      <c r="F151" s="3"/>
      <c r="G151" s="3"/>
      <c r="H151" s="3"/>
      <c r="I151" s="3"/>
      <c r="J151" s="3"/>
      <c r="K151" s="3"/>
    </row>
    <row r="160" spans="1:11" ht="74.25" customHeight="1" thickBot="1">
      <c r="A160" s="449" t="s">
        <v>109</v>
      </c>
      <c r="B160" s="450"/>
      <c r="C160" s="450"/>
      <c r="D160" s="450"/>
      <c r="E160" s="450"/>
      <c r="F160" s="450"/>
      <c r="G160" s="450"/>
      <c r="H160" s="450"/>
      <c r="I160" s="451"/>
      <c r="J160" s="3"/>
      <c r="K160" s="3"/>
    </row>
    <row r="161" spans="1:11" ht="1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</row>
    <row r="162" spans="1:11" ht="15">
      <c r="A162" s="16" t="s">
        <v>39</v>
      </c>
      <c r="B162" s="172">
        <f t="shared" ref="B162:B168" si="1">+B16</f>
        <v>0</v>
      </c>
      <c r="C162" s="3"/>
      <c r="D162" s="3"/>
      <c r="E162" s="3"/>
      <c r="F162" s="3"/>
      <c r="G162" s="3"/>
      <c r="H162" s="3"/>
      <c r="I162" s="3"/>
      <c r="J162" s="3"/>
    </row>
    <row r="163" spans="1:11" ht="15">
      <c r="A163" s="15" t="s">
        <v>40</v>
      </c>
      <c r="B163" s="172">
        <f t="shared" si="1"/>
        <v>0</v>
      </c>
      <c r="C163" s="15"/>
      <c r="D163" s="18" t="s">
        <v>12</v>
      </c>
      <c r="E163" s="19" t="e">
        <f>+F16</f>
        <v>#VALUE!</v>
      </c>
      <c r="F163" s="5"/>
      <c r="G163" s="3"/>
      <c r="H163" s="3"/>
      <c r="I163" s="3"/>
      <c r="J163" s="3"/>
    </row>
    <row r="164" spans="1:11" ht="15">
      <c r="A164" s="173" t="s">
        <v>41</v>
      </c>
      <c r="B164" s="172">
        <f t="shared" si="1"/>
        <v>0</v>
      </c>
      <c r="C164" s="15"/>
      <c r="D164" s="3"/>
      <c r="E164" s="3"/>
      <c r="F164" s="5"/>
      <c r="G164" s="3"/>
      <c r="H164" s="3"/>
      <c r="I164" s="3"/>
      <c r="J164" s="3"/>
    </row>
    <row r="165" spans="1:11" ht="15">
      <c r="A165" s="21" t="s">
        <v>42</v>
      </c>
      <c r="B165" s="174">
        <f t="shared" si="1"/>
        <v>0</v>
      </c>
      <c r="C165" s="15"/>
      <c r="D165" s="3"/>
      <c r="E165" s="3"/>
      <c r="F165" s="5"/>
      <c r="G165" s="3"/>
      <c r="H165" s="3"/>
      <c r="I165" s="3"/>
      <c r="J165" s="3"/>
    </row>
    <row r="166" spans="1:11" ht="15">
      <c r="A166" s="24" t="s">
        <v>43</v>
      </c>
      <c r="B166" s="174">
        <f t="shared" si="1"/>
        <v>0</v>
      </c>
      <c r="C166" s="5"/>
      <c r="D166" s="457"/>
      <c r="E166" s="457"/>
      <c r="F166" s="458"/>
      <c r="G166" s="458"/>
      <c r="H166" s="19"/>
      <c r="I166" s="3"/>
      <c r="J166" s="3"/>
    </row>
    <row r="167" spans="1:11" ht="15">
      <c r="A167" s="27" t="s">
        <v>44</v>
      </c>
      <c r="B167" s="175" t="str">
        <f t="shared" si="1"/>
        <v/>
      </c>
      <c r="C167" s="5"/>
      <c r="D167" s="3"/>
      <c r="E167" s="121"/>
      <c r="F167" s="5"/>
      <c r="G167" s="121"/>
      <c r="H167" s="121"/>
      <c r="I167" s="3"/>
      <c r="J167" s="3"/>
    </row>
    <row r="168" spans="1:11" ht="15">
      <c r="A168" s="3" t="s">
        <v>45</v>
      </c>
      <c r="B168" s="174">
        <f t="shared" si="1"/>
        <v>0</v>
      </c>
      <c r="C168" s="5"/>
      <c r="D168" s="5"/>
      <c r="E168" s="121"/>
      <c r="F168" s="5"/>
      <c r="G168" s="121"/>
      <c r="H168" s="121"/>
      <c r="I168" s="3"/>
      <c r="J168" s="3"/>
    </row>
    <row r="169" spans="1:11" ht="15">
      <c r="A169" s="3" t="s">
        <v>11</v>
      </c>
      <c r="B169" s="176" t="e">
        <f>(B167-B168)/365.25</f>
        <v>#VALUE!</v>
      </c>
      <c r="C169" s="5"/>
      <c r="D169" s="5"/>
      <c r="E169" s="121"/>
      <c r="F169" s="5"/>
      <c r="G169" s="121"/>
      <c r="H169" s="121"/>
      <c r="I169" s="3"/>
      <c r="J169" s="3"/>
    </row>
    <row r="170" spans="1:11" ht="15">
      <c r="A170" s="3"/>
      <c r="B170" s="3"/>
      <c r="C170" s="5"/>
      <c r="D170" s="5"/>
      <c r="E170" s="121"/>
      <c r="F170" s="5"/>
      <c r="G170" s="121"/>
      <c r="H170" s="121"/>
      <c r="I170" s="3"/>
      <c r="J170" s="3"/>
    </row>
    <row r="171" spans="1:11" ht="30">
      <c r="A171" s="455" t="s">
        <v>50</v>
      </c>
      <c r="B171" s="456"/>
      <c r="C171" s="39" t="s">
        <v>51</v>
      </c>
      <c r="D171" s="177"/>
      <c r="E171" s="455" t="s">
        <v>110</v>
      </c>
      <c r="F171" s="456"/>
      <c r="G171" s="39" t="s">
        <v>51</v>
      </c>
      <c r="H171" s="121"/>
      <c r="I171" s="3"/>
      <c r="J171" s="3"/>
    </row>
    <row r="172" spans="1:11" ht="15">
      <c r="A172" s="40" t="str">
        <f>IF($B$21="","",DATE(YEAR($C$27)-1,MONTH($C$27),1))</f>
        <v/>
      </c>
      <c r="B172" s="42">
        <f t="shared" ref="B172:C183" si="2">+B32</f>
        <v>0</v>
      </c>
      <c r="C172" s="42">
        <f t="shared" si="2"/>
        <v>0</v>
      </c>
      <c r="D172" s="177"/>
      <c r="E172" s="40" t="str">
        <f>+A181</f>
        <v/>
      </c>
      <c r="F172" s="42">
        <f>+B181</f>
        <v>0</v>
      </c>
      <c r="G172" s="42">
        <f>+C181</f>
        <v>0</v>
      </c>
      <c r="H172" s="3"/>
      <c r="I172" s="3" t="s">
        <v>48</v>
      </c>
      <c r="J172" s="3"/>
    </row>
    <row r="173" spans="1:11" ht="15">
      <c r="A173" s="40" t="str">
        <f t="shared" ref="A173:A183" si="3">IF(A172="","",DATE(YEAR(A172),MONTH(A172)+1,1))</f>
        <v/>
      </c>
      <c r="B173" s="42">
        <f t="shared" si="2"/>
        <v>0</v>
      </c>
      <c r="C173" s="42">
        <f t="shared" si="2"/>
        <v>0</v>
      </c>
      <c r="D173" s="177"/>
      <c r="E173" s="40" t="str">
        <f>+A182</f>
        <v/>
      </c>
      <c r="F173" s="42">
        <f>+B182</f>
        <v>0</v>
      </c>
      <c r="G173" s="42">
        <f t="shared" ref="G173:G174" si="4">+C182</f>
        <v>0</v>
      </c>
      <c r="H173" s="178"/>
      <c r="I173" s="178"/>
      <c r="J173" s="3"/>
    </row>
    <row r="174" spans="1:11" ht="15">
      <c r="A174" s="40" t="str">
        <f t="shared" si="3"/>
        <v/>
      </c>
      <c r="B174" s="42">
        <f t="shared" si="2"/>
        <v>0</v>
      </c>
      <c r="C174" s="42">
        <f t="shared" si="2"/>
        <v>0</v>
      </c>
      <c r="D174" s="177"/>
      <c r="E174" s="40" t="str">
        <f>+A183</f>
        <v/>
      </c>
      <c r="F174" s="42">
        <f>+B183</f>
        <v>0</v>
      </c>
      <c r="G174" s="42">
        <f t="shared" si="4"/>
        <v>0</v>
      </c>
      <c r="H174" s="3"/>
      <c r="I174" s="3"/>
      <c r="J174" s="3"/>
    </row>
    <row r="175" spans="1:11" ht="15">
      <c r="A175" s="40" t="str">
        <f t="shared" si="3"/>
        <v/>
      </c>
      <c r="B175" s="42">
        <f t="shared" si="2"/>
        <v>0</v>
      </c>
      <c r="C175" s="42">
        <f t="shared" si="2"/>
        <v>0</v>
      </c>
      <c r="D175" s="177"/>
      <c r="E175" s="43" t="s">
        <v>53</v>
      </c>
      <c r="F175" s="44">
        <f>SUM(F172:F174)</f>
        <v>0</v>
      </c>
      <c r="G175" s="44">
        <f>SUM(G172:G174)</f>
        <v>0</v>
      </c>
      <c r="H175" s="3"/>
      <c r="I175" s="163"/>
      <c r="J175" s="179"/>
    </row>
    <row r="176" spans="1:11" ht="15">
      <c r="A176" s="40" t="str">
        <f t="shared" si="3"/>
        <v/>
      </c>
      <c r="B176" s="42">
        <f t="shared" si="2"/>
        <v>0</v>
      </c>
      <c r="C176" s="42">
        <f t="shared" si="2"/>
        <v>0</v>
      </c>
      <c r="D176" s="177"/>
      <c r="E176" s="45" t="s">
        <v>54</v>
      </c>
      <c r="F176" s="453">
        <f>(F175+G175)/COUNTA(F172:F174)</f>
        <v>0</v>
      </c>
      <c r="G176" s="454"/>
      <c r="H176" s="3"/>
      <c r="I176" s="180"/>
      <c r="J176" s="181"/>
    </row>
    <row r="177" spans="1:10" ht="15">
      <c r="A177" s="40" t="str">
        <f t="shared" si="3"/>
        <v/>
      </c>
      <c r="B177" s="42">
        <f t="shared" si="2"/>
        <v>0</v>
      </c>
      <c r="C177" s="42">
        <f t="shared" si="2"/>
        <v>0</v>
      </c>
      <c r="D177" s="177"/>
      <c r="E177" s="15"/>
      <c r="F177" s="3"/>
      <c r="G177" s="3"/>
      <c r="H177" s="3"/>
      <c r="I177" s="180"/>
      <c r="J177" s="181"/>
    </row>
    <row r="178" spans="1:10" ht="15">
      <c r="A178" s="40" t="str">
        <f t="shared" si="3"/>
        <v/>
      </c>
      <c r="B178" s="42">
        <f t="shared" si="2"/>
        <v>0</v>
      </c>
      <c r="C178" s="42">
        <f t="shared" si="2"/>
        <v>0</v>
      </c>
      <c r="D178" s="177"/>
      <c r="E178" s="15"/>
      <c r="F178" s="3"/>
      <c r="G178" s="3"/>
      <c r="H178" s="3"/>
      <c r="I178" s="180"/>
      <c r="J178" s="181"/>
    </row>
    <row r="179" spans="1:10" ht="15">
      <c r="A179" s="40" t="str">
        <f t="shared" si="3"/>
        <v/>
      </c>
      <c r="B179" s="42">
        <f t="shared" si="2"/>
        <v>0</v>
      </c>
      <c r="C179" s="42">
        <f t="shared" si="2"/>
        <v>0</v>
      </c>
      <c r="D179" s="177"/>
      <c r="E179" s="15"/>
      <c r="F179" s="3"/>
      <c r="G179" s="3"/>
      <c r="H179" s="3"/>
      <c r="I179" s="180"/>
      <c r="J179" s="181"/>
    </row>
    <row r="180" spans="1:10" ht="15">
      <c r="A180" s="40" t="str">
        <f t="shared" si="3"/>
        <v/>
      </c>
      <c r="B180" s="42">
        <f t="shared" si="2"/>
        <v>0</v>
      </c>
      <c r="C180" s="42">
        <f t="shared" si="2"/>
        <v>0</v>
      </c>
      <c r="D180" s="177"/>
      <c r="E180" s="15"/>
      <c r="F180" s="3"/>
      <c r="G180" s="3"/>
      <c r="H180" s="3"/>
      <c r="I180" s="180"/>
      <c r="J180" s="181"/>
    </row>
    <row r="181" spans="1:10" ht="15">
      <c r="A181" s="40" t="str">
        <f t="shared" si="3"/>
        <v/>
      </c>
      <c r="B181" s="42">
        <f t="shared" si="2"/>
        <v>0</v>
      </c>
      <c r="C181" s="42">
        <f t="shared" si="2"/>
        <v>0</v>
      </c>
      <c r="D181" s="177"/>
      <c r="E181" s="15"/>
      <c r="F181" s="3"/>
      <c r="G181" s="3"/>
      <c r="H181" s="3"/>
      <c r="I181" s="180"/>
      <c r="J181" s="181"/>
    </row>
    <row r="182" spans="1:10" ht="15">
      <c r="A182" s="40" t="str">
        <f t="shared" si="3"/>
        <v/>
      </c>
      <c r="B182" s="42">
        <f t="shared" si="2"/>
        <v>0</v>
      </c>
      <c r="C182" s="42">
        <f t="shared" si="2"/>
        <v>0</v>
      </c>
      <c r="D182" s="177"/>
      <c r="E182" s="15"/>
      <c r="F182" s="3"/>
      <c r="G182" s="3"/>
      <c r="H182" s="3"/>
      <c r="I182" s="180"/>
      <c r="J182" s="181"/>
    </row>
    <row r="183" spans="1:10" ht="15">
      <c r="A183" s="40" t="str">
        <f t="shared" si="3"/>
        <v/>
      </c>
      <c r="B183" s="42">
        <f t="shared" si="2"/>
        <v>0</v>
      </c>
      <c r="C183" s="42">
        <f t="shared" si="2"/>
        <v>0</v>
      </c>
      <c r="D183" s="177"/>
      <c r="E183" s="15"/>
      <c r="F183" s="3"/>
      <c r="G183" s="3"/>
      <c r="H183" s="3"/>
      <c r="I183" s="180"/>
      <c r="J183" s="181"/>
    </row>
    <row r="184" spans="1:10" ht="15">
      <c r="A184" s="46" t="s">
        <v>57</v>
      </c>
      <c r="B184" s="47">
        <f>SUM(B172:B183)</f>
        <v>0</v>
      </c>
      <c r="C184" s="47">
        <f>SUM(C172:C183)</f>
        <v>0</v>
      </c>
      <c r="D184" s="177"/>
      <c r="E184" s="15"/>
      <c r="F184" s="3"/>
      <c r="G184" s="3"/>
      <c r="H184" s="3"/>
      <c r="I184" s="124"/>
      <c r="J184" s="182"/>
    </row>
    <row r="185" spans="1:10" ht="15">
      <c r="A185" s="48" t="s">
        <v>54</v>
      </c>
      <c r="B185" s="453">
        <f>(B184+C184)/COUNTA(B172:B183)</f>
        <v>0</v>
      </c>
      <c r="C185" s="454"/>
      <c r="D185" s="177"/>
      <c r="E185" s="15"/>
      <c r="F185" s="3"/>
      <c r="G185" s="3"/>
      <c r="H185" s="3"/>
      <c r="I185" s="3"/>
      <c r="J185" s="3"/>
    </row>
    <row r="186" spans="1:10" ht="15">
      <c r="A186" s="183"/>
      <c r="B186" s="184"/>
      <c r="C186" s="5"/>
      <c r="D186" s="3"/>
      <c r="E186" s="5"/>
      <c r="F186" s="3"/>
      <c r="G186" s="3"/>
      <c r="H186" s="3"/>
      <c r="I186" s="3"/>
      <c r="J186" s="3"/>
    </row>
    <row r="187" spans="1:10" ht="15">
      <c r="A187" s="183"/>
      <c r="B187" s="184"/>
      <c r="C187" s="5"/>
      <c r="D187" s="419" t="s">
        <v>111</v>
      </c>
      <c r="E187" s="420"/>
      <c r="F187" s="421"/>
      <c r="G187" s="3"/>
      <c r="H187" s="3"/>
      <c r="I187" s="3"/>
      <c r="J187" s="3"/>
    </row>
    <row r="188" spans="1:10" ht="15">
      <c r="A188" s="185"/>
      <c r="B188" s="184"/>
      <c r="C188" s="5"/>
      <c r="D188" s="438">
        <f>MAX(B185,F176)</f>
        <v>0</v>
      </c>
      <c r="E188" s="439"/>
      <c r="F188" s="440"/>
      <c r="G188" s="3"/>
      <c r="H188" s="3"/>
      <c r="I188" s="3"/>
      <c r="J188" s="3"/>
    </row>
    <row r="189" spans="1:10" ht="15">
      <c r="A189" s="185"/>
      <c r="B189" s="184"/>
      <c r="C189" s="5"/>
      <c r="D189" s="3"/>
      <c r="E189" s="3"/>
      <c r="F189" s="3"/>
      <c r="G189" s="3"/>
      <c r="H189" s="3"/>
      <c r="I189" s="3"/>
      <c r="J189" s="3"/>
    </row>
    <row r="190" spans="1:10" ht="15">
      <c r="A190" s="185"/>
      <c r="B190" s="184"/>
      <c r="C190" s="5"/>
      <c r="D190" s="423" t="s">
        <v>112</v>
      </c>
      <c r="E190" s="424"/>
      <c r="F190" s="425"/>
      <c r="G190" s="3"/>
      <c r="H190" s="3"/>
      <c r="I190" s="3"/>
      <c r="J190" s="3"/>
    </row>
    <row r="191" spans="1:10" ht="15">
      <c r="A191" s="16"/>
      <c r="B191" s="15"/>
      <c r="C191" s="5"/>
      <c r="D191" s="426">
        <v>1</v>
      </c>
      <c r="E191" s="427"/>
      <c r="F191" s="428"/>
      <c r="G191" s="3"/>
      <c r="H191" s="3"/>
      <c r="I191" s="3"/>
      <c r="J191" s="3"/>
    </row>
    <row r="192" spans="1:10" ht="15.75" thickBot="1">
      <c r="A192" s="16"/>
      <c r="B192" s="15"/>
      <c r="C192" s="5"/>
      <c r="D192" s="186"/>
      <c r="E192" s="186"/>
      <c r="F192" s="186"/>
      <c r="G192" s="3"/>
      <c r="H192" s="3"/>
      <c r="I192" s="3"/>
      <c r="J192" s="3"/>
    </row>
    <row r="193" spans="1:10" ht="15.75" thickTop="1">
      <c r="A193" s="16"/>
      <c r="B193" s="15"/>
      <c r="C193" s="5"/>
      <c r="D193" s="429" t="s">
        <v>113</v>
      </c>
      <c r="E193" s="430"/>
      <c r="F193" s="431"/>
      <c r="G193" s="3"/>
      <c r="H193" s="3"/>
      <c r="I193" s="3"/>
      <c r="J193" s="3"/>
    </row>
    <row r="194" spans="1:10" ht="15.75" thickBot="1">
      <c r="A194" s="16"/>
      <c r="B194" s="15"/>
      <c r="C194" s="5"/>
      <c r="D194" s="432">
        <f>IF(D188&lt;&gt;0,D188*100%/D191,)</f>
        <v>0</v>
      </c>
      <c r="E194" s="433"/>
      <c r="F194" s="434"/>
      <c r="G194" s="3"/>
      <c r="H194" s="3"/>
      <c r="I194" s="3"/>
    </row>
    <row r="195" spans="1:10" ht="15.75" thickTop="1">
      <c r="A195" s="16"/>
      <c r="B195" s="15"/>
      <c r="C195" s="5"/>
      <c r="D195" s="3"/>
      <c r="E195" s="3"/>
      <c r="F195" s="3"/>
      <c r="G195" s="3"/>
      <c r="H195" s="3"/>
      <c r="I195" s="3"/>
    </row>
    <row r="196" spans="1:10" ht="15">
      <c r="A196" s="16"/>
      <c r="B196" s="15"/>
      <c r="C196" s="5"/>
      <c r="D196" s="3"/>
      <c r="E196" s="5"/>
      <c r="F196" s="3"/>
      <c r="G196" s="3"/>
      <c r="H196" s="3"/>
      <c r="I196" s="3"/>
    </row>
    <row r="197" spans="1:10" ht="38.25">
      <c r="A197" s="187" t="s">
        <v>114</v>
      </c>
      <c r="B197" s="188" t="s">
        <v>115</v>
      </c>
      <c r="C197" s="187" t="s">
        <v>116</v>
      </c>
      <c r="D197" s="187" t="s">
        <v>117</v>
      </c>
      <c r="E197" s="189" t="s">
        <v>118</v>
      </c>
      <c r="F197" s="190"/>
      <c r="G197" s="191"/>
      <c r="H197" s="191"/>
      <c r="I197" s="159"/>
    </row>
    <row r="198" spans="1:10" ht="15">
      <c r="A198" s="192"/>
      <c r="B198" s="192"/>
      <c r="C198" s="193"/>
      <c r="D198" s="194">
        <f>(B198-A198)/365.25</f>
        <v>0</v>
      </c>
      <c r="E198" s="195">
        <f>IF(A198="",0,$D$194)</f>
        <v>0</v>
      </c>
      <c r="F198" s="194">
        <f>(E198*C198/100%)*D198</f>
        <v>0</v>
      </c>
      <c r="G198" s="91"/>
      <c r="H198" s="91"/>
      <c r="I198" s="91"/>
    </row>
    <row r="199" spans="1:10" ht="15">
      <c r="A199" s="192"/>
      <c r="B199" s="192"/>
      <c r="C199" s="193"/>
      <c r="D199" s="194">
        <f t="shared" ref="D199:D211" si="5">(B199-A199)/365.25</f>
        <v>0</v>
      </c>
      <c r="E199" s="195">
        <f t="shared" ref="E199:E211" si="6">IF(A199="",0,$D$194)</f>
        <v>0</v>
      </c>
      <c r="F199" s="194">
        <f>(E199*C199/100%)*D199</f>
        <v>0</v>
      </c>
      <c r="G199" s="196"/>
      <c r="H199" s="196"/>
      <c r="I199" s="3"/>
    </row>
    <row r="200" spans="1:10" ht="15">
      <c r="A200" s="192"/>
      <c r="B200" s="192"/>
      <c r="C200" s="193"/>
      <c r="D200" s="194">
        <f t="shared" si="5"/>
        <v>0</v>
      </c>
      <c r="E200" s="195">
        <f t="shared" si="6"/>
        <v>0</v>
      </c>
      <c r="F200" s="194">
        <f>(E200*C200/100%)*D200</f>
        <v>0</v>
      </c>
      <c r="G200" s="197"/>
      <c r="H200" s="197"/>
      <c r="I200" s="3"/>
    </row>
    <row r="201" spans="1:10" ht="15">
      <c r="A201" s="192"/>
      <c r="B201" s="192"/>
      <c r="C201" s="193"/>
      <c r="D201" s="194">
        <f t="shared" si="5"/>
        <v>0</v>
      </c>
      <c r="E201" s="195">
        <f t="shared" si="6"/>
        <v>0</v>
      </c>
      <c r="F201" s="194">
        <f>(E201*C201/100%)*D201</f>
        <v>0</v>
      </c>
      <c r="G201" s="197"/>
      <c r="H201" s="197"/>
      <c r="I201" s="3"/>
    </row>
    <row r="202" spans="1:10" ht="15">
      <c r="A202" s="192"/>
      <c r="B202" s="192"/>
      <c r="C202" s="193"/>
      <c r="D202" s="194">
        <f t="shared" si="5"/>
        <v>0</v>
      </c>
      <c r="E202" s="195">
        <f t="shared" si="6"/>
        <v>0</v>
      </c>
      <c r="F202" s="194">
        <f>(E202*C202/100%)*D202</f>
        <v>0</v>
      </c>
      <c r="G202" s="197"/>
      <c r="H202" s="197"/>
      <c r="I202" s="3"/>
    </row>
    <row r="203" spans="1:10" ht="15">
      <c r="A203" s="192"/>
      <c r="B203" s="192"/>
      <c r="C203" s="193"/>
      <c r="D203" s="194">
        <f t="shared" si="5"/>
        <v>0</v>
      </c>
      <c r="E203" s="195">
        <f t="shared" si="6"/>
        <v>0</v>
      </c>
      <c r="F203" s="194">
        <f t="shared" ref="F203:F211" si="7">(E203*C203/100%)*D203</f>
        <v>0</v>
      </c>
      <c r="G203" s="196"/>
      <c r="H203" s="196"/>
      <c r="I203" s="3"/>
    </row>
    <row r="204" spans="1:10" ht="15">
      <c r="A204" s="198"/>
      <c r="B204" s="199"/>
      <c r="C204" s="200"/>
      <c r="D204" s="194">
        <f t="shared" si="5"/>
        <v>0</v>
      </c>
      <c r="E204" s="195">
        <f t="shared" si="6"/>
        <v>0</v>
      </c>
      <c r="F204" s="194">
        <f t="shared" si="7"/>
        <v>0</v>
      </c>
      <c r="G204" s="196"/>
      <c r="H204" s="196"/>
      <c r="I204" s="3"/>
    </row>
    <row r="205" spans="1:10" ht="15">
      <c r="A205" s="198"/>
      <c r="B205" s="199"/>
      <c r="C205" s="200"/>
      <c r="D205" s="194">
        <f t="shared" si="5"/>
        <v>0</v>
      </c>
      <c r="E205" s="195">
        <f t="shared" si="6"/>
        <v>0</v>
      </c>
      <c r="F205" s="194">
        <f t="shared" si="7"/>
        <v>0</v>
      </c>
      <c r="G205" s="196"/>
      <c r="H205" s="196"/>
      <c r="I205" s="3"/>
    </row>
    <row r="206" spans="1:10" ht="15">
      <c r="A206" s="198"/>
      <c r="B206" s="199"/>
      <c r="C206" s="200"/>
      <c r="D206" s="194">
        <f t="shared" si="5"/>
        <v>0</v>
      </c>
      <c r="E206" s="195">
        <f t="shared" si="6"/>
        <v>0</v>
      </c>
      <c r="F206" s="194">
        <f t="shared" si="7"/>
        <v>0</v>
      </c>
      <c r="G206" s="196"/>
      <c r="H206" s="196"/>
      <c r="I206" s="3"/>
    </row>
    <row r="207" spans="1:10" ht="15">
      <c r="A207" s="198"/>
      <c r="B207" s="199"/>
      <c r="C207" s="200"/>
      <c r="D207" s="194">
        <f t="shared" si="5"/>
        <v>0</v>
      </c>
      <c r="E207" s="195">
        <f t="shared" si="6"/>
        <v>0</v>
      </c>
      <c r="F207" s="194">
        <f t="shared" si="7"/>
        <v>0</v>
      </c>
      <c r="G207" s="196"/>
      <c r="H207" s="196"/>
      <c r="I207" s="3"/>
    </row>
    <row r="208" spans="1:10" ht="15">
      <c r="A208" s="198"/>
      <c r="B208" s="199"/>
      <c r="C208" s="200"/>
      <c r="D208" s="194">
        <f t="shared" si="5"/>
        <v>0</v>
      </c>
      <c r="E208" s="195">
        <f t="shared" si="6"/>
        <v>0</v>
      </c>
      <c r="F208" s="194">
        <f t="shared" si="7"/>
        <v>0</v>
      </c>
      <c r="G208" s="196"/>
      <c r="H208" s="196"/>
      <c r="I208" s="3"/>
    </row>
    <row r="209" spans="1:9" ht="15">
      <c r="A209" s="198"/>
      <c r="B209" s="199"/>
      <c r="C209" s="200"/>
      <c r="D209" s="194">
        <f t="shared" si="5"/>
        <v>0</v>
      </c>
      <c r="E209" s="195">
        <f t="shared" si="6"/>
        <v>0</v>
      </c>
      <c r="F209" s="194">
        <f t="shared" si="7"/>
        <v>0</v>
      </c>
      <c r="G209" s="196"/>
      <c r="H209" s="196"/>
      <c r="I209" s="3"/>
    </row>
    <row r="210" spans="1:9" ht="15">
      <c r="A210" s="198"/>
      <c r="B210" s="199"/>
      <c r="C210" s="200"/>
      <c r="D210" s="194">
        <f t="shared" si="5"/>
        <v>0</v>
      </c>
      <c r="E210" s="195">
        <f t="shared" si="6"/>
        <v>0</v>
      </c>
      <c r="F210" s="194">
        <f t="shared" si="7"/>
        <v>0</v>
      </c>
      <c r="G210" s="196"/>
      <c r="H210" s="196"/>
      <c r="I210" s="3"/>
    </row>
    <row r="211" spans="1:9" ht="15">
      <c r="A211" s="198"/>
      <c r="B211" s="199"/>
      <c r="C211" s="200"/>
      <c r="D211" s="194">
        <f t="shared" si="5"/>
        <v>0</v>
      </c>
      <c r="E211" s="195">
        <f t="shared" si="6"/>
        <v>0</v>
      </c>
      <c r="F211" s="194">
        <f t="shared" si="7"/>
        <v>0</v>
      </c>
      <c r="G211" s="196"/>
      <c r="H211" s="196"/>
      <c r="I211" s="3"/>
    </row>
    <row r="212" spans="1:9" ht="15">
      <c r="A212" s="201"/>
      <c r="B212" s="202"/>
      <c r="C212" s="203"/>
      <c r="D212" s="204">
        <f>SUM(D198:D211)</f>
        <v>0</v>
      </c>
      <c r="E212" s="201"/>
      <c r="F212" s="204">
        <f>SUM(F198:F211)</f>
        <v>0</v>
      </c>
      <c r="G212" s="197"/>
      <c r="H212" s="197"/>
      <c r="I212" s="205"/>
    </row>
    <row r="213" spans="1:9" ht="15">
      <c r="A213" s="196"/>
      <c r="B213" s="197"/>
      <c r="C213" s="206"/>
      <c r="D213" s="206"/>
      <c r="E213" s="196"/>
      <c r="F213" s="206"/>
      <c r="G213" s="197"/>
      <c r="H213" s="197"/>
      <c r="I213" s="3"/>
    </row>
    <row r="214" spans="1:9" ht="15">
      <c r="A214" s="196"/>
      <c r="B214" s="197"/>
      <c r="C214" s="206"/>
      <c r="D214" s="206"/>
      <c r="E214" s="196"/>
      <c r="F214" s="206"/>
      <c r="G214" s="197"/>
      <c r="H214" s="197"/>
      <c r="I214" s="3"/>
    </row>
    <row r="215" spans="1:9" ht="15.75" thickBot="1">
      <c r="A215" s="196"/>
      <c r="B215" s="197"/>
      <c r="C215" s="206"/>
      <c r="D215" s="196"/>
      <c r="E215" s="196"/>
      <c r="F215" s="196"/>
      <c r="G215" s="197"/>
      <c r="H215" s="197"/>
      <c r="I215" s="3"/>
    </row>
    <row r="216" spans="1:9" ht="15.75" thickBot="1">
      <c r="A216" s="196"/>
      <c r="B216" s="435" t="s">
        <v>119</v>
      </c>
      <c r="C216" s="436"/>
      <c r="D216" s="436"/>
      <c r="E216" s="207">
        <f>IF(F212&lt;&gt;0,F212/D212,0)</f>
        <v>0</v>
      </c>
      <c r="F216" s="196"/>
      <c r="G216" s="197"/>
      <c r="H216" s="197"/>
      <c r="I216" s="3"/>
    </row>
    <row r="217" spans="1:9" ht="15">
      <c r="A217" s="3"/>
      <c r="B217" s="437" t="s">
        <v>120</v>
      </c>
      <c r="C217" s="437"/>
      <c r="D217" s="437"/>
      <c r="E217" s="437"/>
      <c r="F217" s="196"/>
      <c r="G217" s="197"/>
      <c r="H217" s="197"/>
      <c r="I217" s="3"/>
    </row>
    <row r="218" spans="1:9" ht="15">
      <c r="A218" s="3"/>
      <c r="B218" s="422" t="s">
        <v>121</v>
      </c>
      <c r="C218" s="422"/>
      <c r="D218" s="422"/>
      <c r="E218" s="422"/>
      <c r="F218" s="3"/>
      <c r="G218" s="3"/>
      <c r="H218" s="3"/>
      <c r="I218" s="3"/>
    </row>
    <row r="219" spans="1:9" ht="15">
      <c r="A219" s="3"/>
      <c r="B219" s="3"/>
      <c r="C219" s="3"/>
      <c r="D219" s="3"/>
      <c r="E219" s="3"/>
      <c r="F219" s="3"/>
      <c r="G219" s="3"/>
      <c r="H219" s="3"/>
      <c r="I219" s="3"/>
    </row>
    <row r="220" spans="1:9" ht="15">
      <c r="A220" s="3"/>
      <c r="B220" s="3"/>
      <c r="C220" s="3"/>
      <c r="D220" s="3"/>
      <c r="E220" s="3"/>
      <c r="F220" s="3"/>
      <c r="G220" s="3"/>
      <c r="H220" s="3"/>
      <c r="I220" s="3"/>
    </row>
  </sheetData>
  <mergeCells count="75">
    <mergeCell ref="B45:C45"/>
    <mergeCell ref="E45:G45"/>
    <mergeCell ref="A1:J3"/>
    <mergeCell ref="B12:C12"/>
    <mergeCell ref="F12:I12"/>
    <mergeCell ref="F13:I13"/>
    <mergeCell ref="A29:J29"/>
    <mergeCell ref="A31:B31"/>
    <mergeCell ref="E31:F31"/>
    <mergeCell ref="F36:G36"/>
    <mergeCell ref="E40:G40"/>
    <mergeCell ref="E41:G41"/>
    <mergeCell ref="E42:G42"/>
    <mergeCell ref="E44:G44"/>
    <mergeCell ref="A115:K115"/>
    <mergeCell ref="A49:I49"/>
    <mergeCell ref="A62:C62"/>
    <mergeCell ref="E62:G62"/>
    <mergeCell ref="A64:C64"/>
    <mergeCell ref="E64:H64"/>
    <mergeCell ref="G65:I65"/>
    <mergeCell ref="A66:I66"/>
    <mergeCell ref="A67:I67"/>
    <mergeCell ref="G69:H69"/>
    <mergeCell ref="G70:H70"/>
    <mergeCell ref="B71:C71"/>
    <mergeCell ref="A58:C58"/>
    <mergeCell ref="A59:C59"/>
    <mergeCell ref="A60:C60"/>
    <mergeCell ref="A61:C61"/>
    <mergeCell ref="A145:K145"/>
    <mergeCell ref="C146:D146"/>
    <mergeCell ref="I139:I141"/>
    <mergeCell ref="A129:D129"/>
    <mergeCell ref="A131:D131"/>
    <mergeCell ref="I131:K131"/>
    <mergeCell ref="A133:D133"/>
    <mergeCell ref="A136:I136"/>
    <mergeCell ref="A137:I137"/>
    <mergeCell ref="C138:D138"/>
    <mergeCell ref="C139:C140"/>
    <mergeCell ref="D139:D140"/>
    <mergeCell ref="F139:F141"/>
    <mergeCell ref="G139:G141"/>
    <mergeCell ref="J150:K150"/>
    <mergeCell ref="A160:I160"/>
    <mergeCell ref="I147:I149"/>
    <mergeCell ref="B185:C185"/>
    <mergeCell ref="A171:B171"/>
    <mergeCell ref="E171:F171"/>
    <mergeCell ref="F176:G176"/>
    <mergeCell ref="D166:E166"/>
    <mergeCell ref="F166:G166"/>
    <mergeCell ref="C147:C148"/>
    <mergeCell ref="D147:D148"/>
    <mergeCell ref="F147:F149"/>
    <mergeCell ref="G147:G149"/>
    <mergeCell ref="J147:J149"/>
    <mergeCell ref="K147:K149"/>
    <mergeCell ref="A63:C63"/>
    <mergeCell ref="E59:H59"/>
    <mergeCell ref="E60:H60"/>
    <mergeCell ref="D187:F187"/>
    <mergeCell ref="B218:E218"/>
    <mergeCell ref="D190:F190"/>
    <mergeCell ref="D191:F191"/>
    <mergeCell ref="D193:F193"/>
    <mergeCell ref="D194:F194"/>
    <mergeCell ref="B216:D216"/>
    <mergeCell ref="B217:E217"/>
    <mergeCell ref="D188:F188"/>
    <mergeCell ref="G150:I150"/>
    <mergeCell ref="G142:I142"/>
    <mergeCell ref="A143:I143"/>
    <mergeCell ref="A144:K144"/>
  </mergeCells>
  <conditionalFormatting sqref="G69:I70">
    <cfRule type="expression" dxfId="2" priority="2">
      <formula>$A$6=1</formula>
    </cfRule>
  </conditionalFormatting>
  <dataValidations disablePrompts="1" count="2">
    <dataValidation type="list" operator="equal" showInputMessage="1" showErrorMessage="1" sqref="B127" xr:uid="{4269097F-2330-4F6E-903E-1CA3E89AF99E}">
      <formula1>"MISE A LA RETRAITE,AUTRES"</formula1>
    </dataValidation>
    <dataValidation allowBlank="1" showInputMessage="1" showErrorMessage="1" promptTitle="CALCUL" prompt="STC;ESTIMATION" sqref="G16:H16" xr:uid="{363B6D05-2BA3-4EA0-B9F0-955F080FDE76}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40" orientation="portrait" r:id="rId1"/>
  <headerFooter>
    <oddHeader>&amp;R&amp;D</oddHeader>
  </headerFooter>
  <rowBreaks count="1" manualBreakCount="1">
    <brk id="114" max="16383" man="1"/>
  </rowBreaks>
  <ignoredErrors>
    <ignoredError sqref="F20 F17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8" r:id="rId4" name="Button 6">
              <controlPr defaultSize="0" print="0" autoFill="0" autoPict="0" macro="[0]!Feuil51.MasqueTP">
                <anchor moveWithCells="1" sizeWithCells="1">
                  <from>
                    <xdr:col>8</xdr:col>
                    <xdr:colOff>228600</xdr:colOff>
                    <xdr:row>160</xdr:row>
                    <xdr:rowOff>142875</xdr:rowOff>
                  </from>
                  <to>
                    <xdr:col>8</xdr:col>
                    <xdr:colOff>1571625</xdr:colOff>
                    <xdr:row>163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5" name="Option Button 8">
              <controlPr defaultSize="0" autoFill="0" autoLine="0" autoPict="0">
                <anchor moveWithCells="1">
                  <from>
                    <xdr:col>0</xdr:col>
                    <xdr:colOff>66675</xdr:colOff>
                    <xdr:row>4</xdr:row>
                    <xdr:rowOff>85725</xdr:rowOff>
                  </from>
                  <to>
                    <xdr:col>0</xdr:col>
                    <xdr:colOff>1990725</xdr:colOff>
                    <xdr:row>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1" r:id="rId6" name="Option Button 9">
              <controlPr defaultSize="0" autoFill="0" autoLine="0" autoPict="0">
                <anchor moveWithCells="1">
                  <from>
                    <xdr:col>0</xdr:col>
                    <xdr:colOff>57150</xdr:colOff>
                    <xdr:row>6</xdr:row>
                    <xdr:rowOff>28575</xdr:rowOff>
                  </from>
                  <to>
                    <xdr:col>0</xdr:col>
                    <xdr:colOff>2009775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2" r:id="rId7" name="Button 10">
              <controlPr defaultSize="0" print="0" autoFill="0" autoPict="0" macro="[0]!retourfeuilleCI">
                <anchor moveWithCells="1" sizeWithCells="1">
                  <from>
                    <xdr:col>9</xdr:col>
                    <xdr:colOff>161925</xdr:colOff>
                    <xdr:row>115</xdr:row>
                    <xdr:rowOff>95250</xdr:rowOff>
                  </from>
                  <to>
                    <xdr:col>10</xdr:col>
                    <xdr:colOff>723900</xdr:colOff>
                    <xdr:row>118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B2587-4A8B-47D8-AAC7-995B99F78A48}">
  <sheetPr codeName="Feuil10">
    <tabColor rgb="FF7030A0"/>
  </sheetPr>
  <dimension ref="A1:K272"/>
  <sheetViews>
    <sheetView showGridLines="0" tabSelected="1" topLeftCell="A211" workbookViewId="0">
      <selection activeCell="E186" sqref="E186"/>
    </sheetView>
  </sheetViews>
  <sheetFormatPr baseColWidth="10" defaultRowHeight="12.75"/>
  <cols>
    <col min="1" max="1" width="14" customWidth="1"/>
    <col min="2" max="2" width="14.28515625" customWidth="1"/>
    <col min="3" max="3" width="10.85546875" customWidth="1"/>
    <col min="5" max="5" width="12" customWidth="1"/>
    <col min="6" max="6" width="10" customWidth="1"/>
    <col min="7" max="7" width="17.7109375" customWidth="1"/>
    <col min="8" max="8" width="8.5703125" customWidth="1"/>
    <col min="10" max="10" width="23.85546875" customWidth="1"/>
    <col min="11" max="11" width="18.28515625" hidden="1" customWidth="1"/>
  </cols>
  <sheetData>
    <row r="1" spans="1:11">
      <c r="K1" s="320" t="b">
        <f>IF(ISNUMBER(SEARCH("ouvriers",'Renseignements salarié'!D16)),TRUE,FALSE)</f>
        <v>0</v>
      </c>
    </row>
    <row r="6" spans="1:11" ht="12.75" customHeight="1"/>
    <row r="9" spans="1:11">
      <c r="E9" s="553" t="str">
        <f>CONCATENATE('Renseignements salarié'!B8," ",'Renseignements salarié'!B9," ",'Renseignements salarié'!B10)</f>
        <v xml:space="preserve">  </v>
      </c>
      <c r="F9" s="553"/>
      <c r="G9" s="553"/>
    </row>
    <row r="10" spans="1:11" ht="12.75" customHeight="1">
      <c r="E10" s="558"/>
      <c r="F10" s="558"/>
      <c r="G10" s="558"/>
    </row>
    <row r="11" spans="1:11" ht="12.75" customHeight="1">
      <c r="E11" s="558"/>
      <c r="F11" s="558"/>
      <c r="G11" s="558"/>
    </row>
    <row r="12" spans="1:11" ht="13.5" customHeight="1">
      <c r="A12" s="219" t="s">
        <v>155</v>
      </c>
      <c r="B12" s="228"/>
      <c r="E12" s="558"/>
      <c r="F12" s="558"/>
      <c r="G12" s="558"/>
    </row>
    <row r="13" spans="1:11">
      <c r="B13" t="e">
        <f>VLOOKUP(B12,#REF!,2,FALSE)</f>
        <v>#REF!</v>
      </c>
    </row>
    <row r="14" spans="1:11" ht="15.75" customHeight="1"/>
    <row r="15" spans="1:11" ht="12.75" customHeight="1"/>
    <row r="17" spans="1:8">
      <c r="E17" s="217" t="s">
        <v>157</v>
      </c>
      <c r="F17" s="540">
        <f ca="1">TODAY()</f>
        <v>44096</v>
      </c>
      <c r="G17" s="540"/>
    </row>
    <row r="21" spans="1:8">
      <c r="A21" s="215" t="str">
        <f>IF('Renseignements salarié'!$B$8="","",'Renseignements salarié'!$B$8)</f>
        <v/>
      </c>
    </row>
    <row r="24" spans="1:8">
      <c r="A24" t="s">
        <v>158</v>
      </c>
    </row>
    <row r="26" spans="1:8">
      <c r="A26" t="str">
        <f>CONCATENATE("•	 Bulletin de paie pour solde de tout compte pour un montant de : ")</f>
        <v xml:space="preserve">•	 Bulletin de paie pour solde de tout compte pour un montant de : </v>
      </c>
      <c r="F26" s="561"/>
      <c r="G26" s="561"/>
    </row>
    <row r="27" spans="1:8">
      <c r="A27" t="str">
        <f>CONCATENATE("•	 Certificat de travail ")</f>
        <v xml:space="preserve">•	 Certificat de travail </v>
      </c>
    </row>
    <row r="28" spans="1:8">
      <c r="A28" t="str">
        <f>CONCATENATE("•	 Attestation Pôle Emploi")</f>
        <v>•	 Attestation Pôle Emploi</v>
      </c>
      <c r="H28" s="214"/>
    </row>
    <row r="29" spans="1:8">
      <c r="A29" s="215" t="str">
        <f>CONCATENATE("•	 Certificat de Congés Payés du 01.04.2018 au 31.03.2019. ")</f>
        <v xml:space="preserve">•	 Certificat de Congés Payés du 01.04.2018 au 31.03.2019. </v>
      </c>
      <c r="H29" s="214" t="s">
        <v>159</v>
      </c>
    </row>
    <row r="30" spans="1:8">
      <c r="A30" t="str">
        <f>CONCATENATE("•	 Deux reçus pour Solde de tout Compte dont un exemplaire est à nous retourner")</f>
        <v>•	 Deux reçus pour Solde de tout Compte dont un exemplaire est à nous retourner</v>
      </c>
    </row>
    <row r="31" spans="1:8">
      <c r="A31" t="str">
        <f>CONCATENATE("•	 Un formulaire explicatif pour le déblocage de l’épargne salariale si vous êtes concerné")</f>
        <v>•	 Un formulaire explicatif pour le déblocage de l’épargne salariale si vous êtes concerné</v>
      </c>
    </row>
    <row r="34" spans="1:8" ht="25.5" customHeight="1">
      <c r="A34" s="560" t="s">
        <v>160</v>
      </c>
      <c r="B34" s="560"/>
      <c r="C34" s="560"/>
      <c r="D34" s="560"/>
      <c r="E34" s="560"/>
      <c r="F34" s="560"/>
      <c r="G34" s="560"/>
      <c r="H34" s="212"/>
    </row>
    <row r="37" spans="1:8">
      <c r="A37" s="220" t="s">
        <v>161</v>
      </c>
    </row>
    <row r="40" spans="1:8">
      <c r="A40" t="str">
        <f>CONCATENATE("Nous vous prions d’agréer,"," ",A21,", l’expression de nos sentiments distingués.")</f>
        <v>Nous vous prions d’agréer, , l’expression de nos sentiments distingués.</v>
      </c>
    </row>
    <row r="45" spans="1:8">
      <c r="E45" s="229" t="s">
        <v>164</v>
      </c>
    </row>
    <row r="46" spans="1:8">
      <c r="E46" t="s">
        <v>162</v>
      </c>
    </row>
    <row r="47" spans="1:8">
      <c r="E47" t="s">
        <v>163</v>
      </c>
    </row>
    <row r="53" spans="1:7">
      <c r="A53" s="213"/>
    </row>
    <row r="54" spans="1:7">
      <c r="A54" s="213"/>
    </row>
    <row r="55" spans="1:7">
      <c r="A55" s="213"/>
    </row>
    <row r="56" spans="1:7">
      <c r="A56" s="213"/>
    </row>
    <row r="57" spans="1:7" ht="15" customHeight="1"/>
    <row r="63" spans="1:7" ht="13.5" thickBot="1"/>
    <row r="64" spans="1:7" ht="24.75" thickTop="1" thickBot="1">
      <c r="A64" s="543" t="s">
        <v>165</v>
      </c>
      <c r="B64" s="544"/>
      <c r="C64" s="544"/>
      <c r="D64" s="544"/>
      <c r="E64" s="544"/>
      <c r="F64" s="544"/>
      <c r="G64" s="545"/>
    </row>
    <row r="65" spans="1:6" ht="13.5" thickTop="1"/>
    <row r="67" spans="1:6">
      <c r="A67" t="s">
        <v>166</v>
      </c>
      <c r="B67" s="318" t="str">
        <f>IF($E$9="","",$E$9)</f>
        <v xml:space="preserve">  </v>
      </c>
      <c r="C67" s="215"/>
      <c r="D67" s="215"/>
    </row>
    <row r="68" spans="1:6">
      <c r="A68" t="s">
        <v>167</v>
      </c>
      <c r="B68" s="319" t="str">
        <f>IF($E$10="","",$E$10)</f>
        <v/>
      </c>
      <c r="C68" s="215"/>
      <c r="D68" s="215"/>
    </row>
    <row r="69" spans="1:6">
      <c r="B69" s="223" t="str">
        <f>IF($E$11="","",$E$11)</f>
        <v/>
      </c>
      <c r="C69" s="215"/>
      <c r="D69" s="215"/>
    </row>
    <row r="70" spans="1:6">
      <c r="B70" s="223" t="str">
        <f>IF($E$12="","",$E$12)</f>
        <v/>
      </c>
      <c r="C70" s="215"/>
      <c r="D70" s="215"/>
    </row>
    <row r="73" spans="1:6">
      <c r="A73" t="s">
        <v>168</v>
      </c>
    </row>
    <row r="74" spans="1:6">
      <c r="A74" t="s">
        <v>169</v>
      </c>
      <c r="B74" s="559" t="str">
        <f>IF('Renseignements salarié'!$B$13="","",'Renseignements salarié'!$B$13)</f>
        <v/>
      </c>
      <c r="C74" s="553"/>
      <c r="D74" t="s">
        <v>170</v>
      </c>
      <c r="E74" s="224" t="str">
        <f>IF($F$26="","",$F$26)</f>
        <v/>
      </c>
      <c r="F74" t="s">
        <v>171</v>
      </c>
    </row>
    <row r="77" spans="1:6">
      <c r="A77" t="s">
        <v>185</v>
      </c>
    </row>
    <row r="79" spans="1:6">
      <c r="A79" s="230"/>
      <c r="B79" t="s">
        <v>186</v>
      </c>
    </row>
    <row r="80" spans="1:6">
      <c r="A80" s="210"/>
    </row>
    <row r="81" spans="1:7">
      <c r="A81" t="s">
        <v>187</v>
      </c>
    </row>
    <row r="83" spans="1:7">
      <c r="A83" s="230"/>
      <c r="B83" t="s">
        <v>188</v>
      </c>
    </row>
    <row r="87" spans="1:7">
      <c r="A87" s="552" t="s">
        <v>172</v>
      </c>
      <c r="B87" s="552"/>
      <c r="C87" s="552"/>
      <c r="D87" s="552"/>
      <c r="E87" s="552"/>
      <c r="F87" s="552"/>
      <c r="G87" s="552"/>
    </row>
    <row r="88" spans="1:7">
      <c r="A88" t="s">
        <v>173</v>
      </c>
    </row>
    <row r="89" spans="1:7">
      <c r="A89" t="s">
        <v>174</v>
      </c>
    </row>
    <row r="90" spans="1:7">
      <c r="A90" t="s">
        <v>175</v>
      </c>
    </row>
    <row r="93" spans="1:7">
      <c r="A93" t="s">
        <v>176</v>
      </c>
      <c r="G93" s="227" t="str">
        <f>B74</f>
        <v/>
      </c>
    </row>
    <row r="94" spans="1:7">
      <c r="A94" t="s">
        <v>177</v>
      </c>
    </row>
    <row r="97" spans="1:3">
      <c r="A97" s="210" t="s">
        <v>178</v>
      </c>
    </row>
    <row r="98" spans="1:3">
      <c r="A98" s="210" t="s">
        <v>179</v>
      </c>
    </row>
    <row r="99" spans="1:3">
      <c r="A99" s="210" t="s">
        <v>180</v>
      </c>
    </row>
    <row r="102" spans="1:3">
      <c r="A102" t="s">
        <v>181</v>
      </c>
    </row>
    <row r="105" spans="1:3">
      <c r="A105" t="s">
        <v>184</v>
      </c>
      <c r="C105" s="211"/>
    </row>
    <row r="106" spans="1:3">
      <c r="A106" t="s">
        <v>183</v>
      </c>
    </row>
    <row r="111" spans="1:3">
      <c r="A111" s="213"/>
    </row>
    <row r="112" spans="1:3">
      <c r="A112" s="213"/>
    </row>
    <row r="113" spans="1:7">
      <c r="A113" s="213"/>
    </row>
    <row r="114" spans="1:7">
      <c r="A114" s="213"/>
    </row>
    <row r="115" spans="1:7" ht="15" customHeight="1"/>
    <row r="121" spans="1:7" ht="13.5" thickBot="1"/>
    <row r="122" spans="1:7" ht="24.75" thickTop="1" thickBot="1">
      <c r="A122" s="543" t="s">
        <v>165</v>
      </c>
      <c r="B122" s="544"/>
      <c r="C122" s="544"/>
      <c r="D122" s="544"/>
      <c r="E122" s="544"/>
      <c r="F122" s="544"/>
      <c r="G122" s="545"/>
    </row>
    <row r="123" spans="1:7" ht="13.5" thickTop="1"/>
    <row r="125" spans="1:7">
      <c r="A125" t="s">
        <v>166</v>
      </c>
      <c r="B125" s="318" t="str">
        <f>B67</f>
        <v xml:space="preserve">  </v>
      </c>
      <c r="C125" s="215"/>
      <c r="D125" s="215"/>
    </row>
    <row r="126" spans="1:7">
      <c r="A126" t="s">
        <v>167</v>
      </c>
      <c r="B126" s="319" t="str">
        <f>$B$68</f>
        <v/>
      </c>
      <c r="C126" s="215"/>
      <c r="D126" s="215"/>
    </row>
    <row r="127" spans="1:7">
      <c r="B127" s="223" t="str">
        <f>$B$69</f>
        <v/>
      </c>
      <c r="C127" s="215"/>
      <c r="D127" s="215"/>
    </row>
    <row r="128" spans="1:7">
      <c r="B128" s="223" t="str">
        <f>$B$70</f>
        <v/>
      </c>
      <c r="C128" s="215"/>
      <c r="D128" s="215"/>
    </row>
    <row r="131" spans="1:6">
      <c r="A131" t="s">
        <v>168</v>
      </c>
    </row>
    <row r="132" spans="1:6">
      <c r="A132" t="s">
        <v>169</v>
      </c>
      <c r="B132" s="559" t="str">
        <f>B74</f>
        <v/>
      </c>
      <c r="C132" s="553"/>
      <c r="D132" t="s">
        <v>170</v>
      </c>
      <c r="E132" s="224" t="str">
        <f>E74</f>
        <v/>
      </c>
      <c r="F132" t="s">
        <v>171</v>
      </c>
    </row>
    <row r="135" spans="1:6">
      <c r="A135" t="s">
        <v>185</v>
      </c>
    </row>
    <row r="137" spans="1:6">
      <c r="A137" s="224" t="str">
        <f>IF($A$79="","",$A$79)</f>
        <v/>
      </c>
      <c r="B137" t="s">
        <v>186</v>
      </c>
    </row>
    <row r="139" spans="1:6">
      <c r="A139" t="s">
        <v>187</v>
      </c>
    </row>
    <row r="141" spans="1:6">
      <c r="A141" s="224" t="str">
        <f>IF($A$83="","",$A$83)</f>
        <v/>
      </c>
      <c r="B141" t="s">
        <v>188</v>
      </c>
    </row>
    <row r="145" spans="1:7">
      <c r="A145" s="552" t="s">
        <v>172</v>
      </c>
      <c r="B145" s="552"/>
      <c r="C145" s="552"/>
      <c r="D145" s="552"/>
      <c r="E145" s="552"/>
      <c r="F145" s="552"/>
      <c r="G145" s="552"/>
    </row>
    <row r="146" spans="1:7">
      <c r="A146" t="s">
        <v>173</v>
      </c>
    </row>
    <row r="147" spans="1:7">
      <c r="A147" t="s">
        <v>174</v>
      </c>
    </row>
    <row r="148" spans="1:7">
      <c r="A148" t="s">
        <v>175</v>
      </c>
    </row>
    <row r="151" spans="1:7">
      <c r="A151" t="s">
        <v>176</v>
      </c>
      <c r="G151" s="227" t="str">
        <f>B132</f>
        <v/>
      </c>
    </row>
    <row r="152" spans="1:7">
      <c r="A152" t="s">
        <v>177</v>
      </c>
    </row>
    <row r="155" spans="1:7">
      <c r="A155" s="210" t="s">
        <v>178</v>
      </c>
    </row>
    <row r="156" spans="1:7">
      <c r="A156" s="210" t="s">
        <v>179</v>
      </c>
    </row>
    <row r="157" spans="1:7">
      <c r="A157" s="210" t="s">
        <v>180</v>
      </c>
    </row>
    <row r="160" spans="1:7">
      <c r="A160" t="s">
        <v>181</v>
      </c>
    </row>
    <row r="163" spans="1:3">
      <c r="A163" t="s">
        <v>184</v>
      </c>
      <c r="C163" s="211"/>
    </row>
    <row r="164" spans="1:3">
      <c r="A164" t="s">
        <v>183</v>
      </c>
    </row>
    <row r="169" spans="1:3">
      <c r="A169" s="213"/>
    </row>
    <row r="170" spans="1:3">
      <c r="A170" s="213"/>
    </row>
    <row r="171" spans="1:3">
      <c r="A171" s="213"/>
    </row>
    <row r="172" spans="1:3">
      <c r="A172" s="213"/>
    </row>
    <row r="173" spans="1:3" ht="15" customHeight="1"/>
    <row r="179" spans="1:7" ht="13.5" thickBot="1"/>
    <row r="180" spans="1:7" ht="24.75" thickTop="1" thickBot="1">
      <c r="A180" s="554" t="s">
        <v>189</v>
      </c>
      <c r="B180" s="555"/>
      <c r="C180" s="555"/>
      <c r="D180" s="555"/>
      <c r="E180" s="555"/>
      <c r="F180" s="555"/>
      <c r="G180" s="556"/>
    </row>
    <row r="181" spans="1:7" s="215" customFormat="1" ht="12.75" customHeight="1" thickTop="1">
      <c r="A181" s="222"/>
      <c r="B181" s="222"/>
      <c r="C181" s="222"/>
      <c r="D181" s="222"/>
      <c r="E181" s="222"/>
      <c r="F181" s="222"/>
      <c r="G181" s="222"/>
    </row>
    <row r="182" spans="1:7" s="215" customFormat="1" ht="12.75" customHeight="1">
      <c r="A182" s="222"/>
      <c r="B182" s="222"/>
      <c r="C182" s="222"/>
      <c r="D182" s="222"/>
      <c r="E182" s="222"/>
      <c r="F182" s="222"/>
      <c r="G182" s="222"/>
    </row>
    <row r="184" spans="1:7">
      <c r="A184" t="s">
        <v>285</v>
      </c>
      <c r="F184" s="557" t="str">
        <f>$B$74</f>
        <v/>
      </c>
      <c r="G184" s="557"/>
    </row>
    <row r="185" spans="1:7">
      <c r="A185" t="s">
        <v>191</v>
      </c>
      <c r="C185" s="547"/>
      <c r="D185" s="547"/>
      <c r="E185" s="547"/>
    </row>
    <row r="186" spans="1:7">
      <c r="A186" s="221" t="s">
        <v>192</v>
      </c>
      <c r="B186" s="1"/>
      <c r="C186" s="1"/>
      <c r="D186" s="1"/>
      <c r="E186" s="1"/>
      <c r="F186" s="562"/>
      <c r="G186" s="562"/>
    </row>
    <row r="187" spans="1:7">
      <c r="A187" t="s">
        <v>193</v>
      </c>
    </row>
    <row r="188" spans="1:7">
      <c r="A188" s="1"/>
      <c r="B188" s="1"/>
      <c r="C188" s="1"/>
      <c r="D188" s="1"/>
      <c r="E188" s="1"/>
      <c r="F188" s="1"/>
      <c r="G188" s="1"/>
    </row>
    <row r="190" spans="1:7">
      <c r="A190" s="216" t="str">
        <f>$B$125</f>
        <v xml:space="preserve">  </v>
      </c>
      <c r="B190" s="215"/>
      <c r="C190" s="215"/>
    </row>
    <row r="191" spans="1:7" s="215" customFormat="1">
      <c r="A191" s="216"/>
    </row>
    <row r="193" spans="1:7">
      <c r="A193" t="s">
        <v>194</v>
      </c>
      <c r="B193" s="225"/>
      <c r="C193" s="542">
        <f>'Renseignements salarié'!$D$8</f>
        <v>0</v>
      </c>
      <c r="D193" s="542"/>
    </row>
    <row r="195" spans="1:7">
      <c r="A195" s="221" t="s">
        <v>195</v>
      </c>
      <c r="B195" s="319" t="str">
        <f>$B$68</f>
        <v/>
      </c>
      <c r="C195" s="216"/>
      <c r="D195" s="216"/>
    </row>
    <row r="196" spans="1:7">
      <c r="B196" s="319" t="str">
        <f>$B$69</f>
        <v/>
      </c>
      <c r="C196" s="216"/>
      <c r="D196" s="216"/>
    </row>
    <row r="197" spans="1:7">
      <c r="B197" s="223" t="str">
        <f>$B$70</f>
        <v/>
      </c>
      <c r="C197" s="216"/>
      <c r="D197" s="216"/>
    </row>
    <row r="199" spans="1:7">
      <c r="A199" t="s">
        <v>196</v>
      </c>
      <c r="B199" s="218" t="s">
        <v>141</v>
      </c>
      <c r="C199" s="226"/>
      <c r="D199" s="218" t="s">
        <v>142</v>
      </c>
      <c r="E199" s="226"/>
    </row>
    <row r="202" spans="1:7">
      <c r="A202" t="s">
        <v>198</v>
      </c>
    </row>
    <row r="204" spans="1:7" s="210" customFormat="1">
      <c r="A204" s="541"/>
      <c r="B204" s="541"/>
      <c r="C204" s="541"/>
      <c r="D204" s="541"/>
      <c r="E204" s="541"/>
      <c r="F204" s="541"/>
      <c r="G204" s="541"/>
    </row>
    <row r="205" spans="1:7" s="210" customFormat="1">
      <c r="A205" s="541"/>
      <c r="B205" s="541"/>
      <c r="C205" s="541"/>
      <c r="D205" s="541"/>
      <c r="E205" s="541"/>
      <c r="F205" s="541"/>
      <c r="G205" s="541"/>
    </row>
    <row r="206" spans="1:7" s="210" customFormat="1">
      <c r="A206" s="541"/>
      <c r="B206" s="541"/>
      <c r="C206" s="541"/>
      <c r="D206" s="541"/>
      <c r="E206" s="541"/>
      <c r="F206" s="541"/>
      <c r="G206" s="541"/>
    </row>
    <row r="207" spans="1:7" s="210" customFormat="1">
      <c r="A207" s="541"/>
      <c r="B207" s="541"/>
      <c r="C207" s="541"/>
      <c r="D207" s="541"/>
      <c r="E207" s="541"/>
      <c r="F207" s="541"/>
      <c r="G207" s="541"/>
    </row>
    <row r="208" spans="1:7" s="210" customFormat="1">
      <c r="A208" s="541"/>
      <c r="B208" s="541"/>
      <c r="C208" s="541"/>
      <c r="D208" s="541"/>
      <c r="E208" s="541"/>
      <c r="F208" s="541"/>
      <c r="G208" s="541"/>
    </row>
    <row r="212" spans="1:7">
      <c r="A212" s="549" t="str">
        <f>+$A$190</f>
        <v xml:space="preserve">  </v>
      </c>
      <c r="B212" s="549"/>
      <c r="C212" s="550" t="s">
        <v>199</v>
      </c>
      <c r="D212" s="550"/>
      <c r="E212" s="551" t="str">
        <f>IF($F$184="","",$F$184)</f>
        <v/>
      </c>
      <c r="F212" s="551"/>
      <c r="G212" t="s">
        <v>200</v>
      </c>
    </row>
    <row r="216" spans="1:7">
      <c r="A216" s="218" t="s">
        <v>182</v>
      </c>
      <c r="B216" t="str">
        <f>$E$17</f>
        <v>Nantes, le</v>
      </c>
      <c r="C216" s="540">
        <f>$E$199</f>
        <v>0</v>
      </c>
      <c r="D216" s="540"/>
    </row>
    <row r="219" spans="1:7">
      <c r="E219" s="215" t="s">
        <v>164</v>
      </c>
    </row>
    <row r="220" spans="1:7">
      <c r="E220" t="s">
        <v>162</v>
      </c>
    </row>
    <row r="221" spans="1:7">
      <c r="E221" t="s">
        <v>163</v>
      </c>
    </row>
    <row r="237" spans="1:7" ht="13.5" thickBot="1"/>
    <row r="238" spans="1:7" ht="24.75" thickTop="1" thickBot="1">
      <c r="A238" s="543" t="s">
        <v>201</v>
      </c>
      <c r="B238" s="544"/>
      <c r="C238" s="544"/>
      <c r="D238" s="544"/>
      <c r="E238" s="544"/>
      <c r="F238" s="544"/>
      <c r="G238" s="545"/>
    </row>
    <row r="239" spans="1:7" ht="13.5" thickTop="1"/>
    <row r="242" spans="1:7">
      <c r="A242" t="s">
        <v>197</v>
      </c>
      <c r="F242" s="546" t="str">
        <f>$B$74</f>
        <v/>
      </c>
      <c r="G242" s="546"/>
    </row>
    <row r="243" spans="1:7">
      <c r="A243" t="s">
        <v>191</v>
      </c>
      <c r="C243" s="547" t="str">
        <f>IF(+$C$185="","",+$C$185)</f>
        <v/>
      </c>
      <c r="D243" s="547"/>
      <c r="E243" s="547"/>
    </row>
    <row r="244" spans="1:7">
      <c r="A244" s="221" t="s">
        <v>192</v>
      </c>
      <c r="B244" s="1"/>
      <c r="C244" s="1"/>
      <c r="D244" s="1"/>
      <c r="E244" s="1"/>
      <c r="F244" s="548" t="str">
        <f>IF(+$F$186="","",+$F$186)</f>
        <v/>
      </c>
      <c r="G244" s="548"/>
    </row>
    <row r="245" spans="1:7">
      <c r="A245" t="s">
        <v>202</v>
      </c>
    </row>
    <row r="248" spans="1:7">
      <c r="A248" s="216" t="str">
        <f>$B$125</f>
        <v xml:space="preserve">  </v>
      </c>
    </row>
    <row r="251" spans="1:7">
      <c r="A251" t="s">
        <v>194</v>
      </c>
      <c r="B251" s="225"/>
      <c r="C251" s="542">
        <f>'Renseignements salarié'!$D$8</f>
        <v>0</v>
      </c>
      <c r="D251" s="542"/>
    </row>
    <row r="254" spans="1:7">
      <c r="A254" t="s">
        <v>203</v>
      </c>
      <c r="B254" s="319" t="str">
        <f>$B$68</f>
        <v/>
      </c>
    </row>
    <row r="255" spans="1:7">
      <c r="B255" s="319" t="str">
        <f>$B$69</f>
        <v/>
      </c>
    </row>
    <row r="256" spans="1:7">
      <c r="B256" s="223" t="str">
        <f>$B$70</f>
        <v/>
      </c>
    </row>
    <row r="259" spans="1:5">
      <c r="A259" s="321" t="str">
        <f>IF($K$1=TRUE,"N’a perçu aucune indemnités de licenciement ni de rupture conventionnelle à l’occasion de son départ le",IF($K$1=FALSE,CONCATENATE("A perçu à l’occasion de son départ en retraite une indemnité de ",$K$2," ","€ net imposable."),""))</f>
        <v>A perçu à l’occasion de son départ en retraite une indemnité de  € net imposable.</v>
      </c>
    </row>
    <row r="260" spans="1:5">
      <c r="A260" s="321" t="str">
        <f>IF($K$1=TRUE,CONCATENATE(TEXT($E$199,"JJ/MM/AAAA")," ","pour le motif suivant : départ en retraite."),IF($K$1=FALSE,""))</f>
        <v/>
      </c>
    </row>
    <row r="264" spans="1:5">
      <c r="A264" t="s">
        <v>204</v>
      </c>
    </row>
    <row r="267" spans="1:5">
      <c r="A267" s="317" t="s">
        <v>182</v>
      </c>
      <c r="B267" t="str">
        <f>$E$17</f>
        <v>Nantes, le</v>
      </c>
      <c r="C267" s="540">
        <f>$E$199</f>
        <v>0</v>
      </c>
      <c r="D267" s="540"/>
    </row>
    <row r="270" spans="1:5">
      <c r="E270">
        <f>$B$12</f>
        <v>0</v>
      </c>
    </row>
    <row r="271" spans="1:5">
      <c r="E271" t="s">
        <v>205</v>
      </c>
    </row>
    <row r="272" spans="1:5">
      <c r="E272" t="s">
        <v>206</v>
      </c>
    </row>
  </sheetData>
  <mergeCells count="33">
    <mergeCell ref="E9:G9"/>
    <mergeCell ref="A180:G180"/>
    <mergeCell ref="F184:G184"/>
    <mergeCell ref="C185:E185"/>
    <mergeCell ref="C193:D193"/>
    <mergeCell ref="E10:G10"/>
    <mergeCell ref="E11:G11"/>
    <mergeCell ref="E12:G12"/>
    <mergeCell ref="A122:G122"/>
    <mergeCell ref="B132:C132"/>
    <mergeCell ref="A145:G145"/>
    <mergeCell ref="B74:C74"/>
    <mergeCell ref="A34:G34"/>
    <mergeCell ref="F26:G26"/>
    <mergeCell ref="F17:G17"/>
    <mergeCell ref="F186:G186"/>
    <mergeCell ref="A64:G64"/>
    <mergeCell ref="A206:G206"/>
    <mergeCell ref="A87:G87"/>
    <mergeCell ref="A208:G208"/>
    <mergeCell ref="A204:G204"/>
    <mergeCell ref="A205:G205"/>
    <mergeCell ref="C267:D267"/>
    <mergeCell ref="A207:G207"/>
    <mergeCell ref="C251:D251"/>
    <mergeCell ref="A238:G238"/>
    <mergeCell ref="F242:G242"/>
    <mergeCell ref="C243:E243"/>
    <mergeCell ref="F244:G244"/>
    <mergeCell ref="A212:B212"/>
    <mergeCell ref="C212:D212"/>
    <mergeCell ref="E212:F212"/>
    <mergeCell ref="C216:D216"/>
  </mergeCells>
  <phoneticPr fontId="32" type="noConversion"/>
  <dataValidations count="2">
    <dataValidation type="list" allowBlank="1" showInputMessage="1" showErrorMessage="1" sqref="B12" xr:uid="{F1B17D2A-FF3A-4CC6-B941-99ED5534BF5C}">
      <formula1>#REF!</formula1>
    </dataValidation>
    <dataValidation type="list" allowBlank="1" showInputMessage="1" showErrorMessage="1" sqref="E17" xr:uid="{1CDE97DA-3C45-4005-854C-4A04F282ABB9}">
      <formula1>#REF!</formula1>
    </dataValidation>
  </dataValidations>
  <pageMargins left="0.59055118110236227" right="0.59055118110236227" top="0.74803149606299213" bottom="0.74803149606299213" header="0.31496062992125984" footer="0.31496062992125984"/>
  <pageSetup paperSize="9" orientation="portrait" r:id="rId1"/>
  <rowBreaks count="3" manualBreakCount="3">
    <brk id="57" max="16383" man="1"/>
    <brk id="115" max="16383" man="1"/>
    <brk id="173" max="16383" man="1"/>
  </row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FE80F9-3C09-4CFF-B899-97A5D167AE22}">
  <sheetPr codeName="Feuil6">
    <tabColor theme="9" tint="-0.249977111117893"/>
    <pageSetUpPr fitToPage="1"/>
  </sheetPr>
  <dimension ref="A1:F16"/>
  <sheetViews>
    <sheetView showGridLines="0" workbookViewId="0">
      <selection sqref="A1:E1"/>
    </sheetView>
  </sheetViews>
  <sheetFormatPr baseColWidth="10" defaultRowHeight="15"/>
  <cols>
    <col min="1" max="1" width="16.140625" style="357" customWidth="1"/>
    <col min="2" max="2" width="27.85546875" style="357" bestFit="1" customWidth="1"/>
    <col min="3" max="3" width="25.140625" style="357" customWidth="1"/>
    <col min="4" max="4" width="27" style="357" customWidth="1"/>
    <col min="5" max="5" width="14" style="357" bestFit="1" customWidth="1"/>
    <col min="6" max="7" width="11.42578125" style="357"/>
    <col min="8" max="8" width="25.140625" style="357" customWidth="1"/>
    <col min="9" max="9" width="3.5703125" style="357" customWidth="1"/>
    <col min="10" max="10" width="27" style="357" bestFit="1" customWidth="1"/>
    <col min="11" max="16384" width="11.42578125" style="357"/>
  </cols>
  <sheetData>
    <row r="1" spans="1:6" ht="27.75" thickBot="1">
      <c r="A1" s="563" t="s">
        <v>130</v>
      </c>
      <c r="B1" s="564"/>
      <c r="C1" s="564"/>
      <c r="D1" s="564"/>
      <c r="E1" s="565"/>
      <c r="F1" s="356"/>
    </row>
    <row r="2" spans="1:6" ht="15.75" thickBot="1"/>
    <row r="3" spans="1:6" ht="44.25" customHeight="1">
      <c r="A3" s="364" t="s">
        <v>128</v>
      </c>
      <c r="B3" s="365" t="s">
        <v>264</v>
      </c>
      <c r="C3" s="366" t="s">
        <v>271</v>
      </c>
      <c r="D3" s="366" t="s">
        <v>210</v>
      </c>
      <c r="E3" s="367" t="s">
        <v>211</v>
      </c>
    </row>
    <row r="4" spans="1:6">
      <c r="A4" s="362" t="s">
        <v>260</v>
      </c>
      <c r="B4" s="359" t="s">
        <v>266</v>
      </c>
      <c r="C4" s="360"/>
      <c r="D4" s="360"/>
      <c r="E4" s="361" t="str">
        <f>IF(D4="","",+IF(C4&lt;&gt;D4,"KO","OK"))</f>
        <v/>
      </c>
    </row>
    <row r="5" spans="1:6">
      <c r="A5" s="362" t="s">
        <v>261</v>
      </c>
      <c r="B5" s="359" t="s">
        <v>265</v>
      </c>
      <c r="C5" s="360"/>
      <c r="D5" s="360"/>
      <c r="E5" s="361" t="str">
        <f t="shared" ref="E5:E16" si="0">IF(D5="","",+IF(C5&lt;&gt;D5,"KO","OK"))</f>
        <v/>
      </c>
    </row>
    <row r="6" spans="1:6">
      <c r="A6" s="362" t="s">
        <v>262</v>
      </c>
      <c r="B6" s="359" t="s">
        <v>267</v>
      </c>
      <c r="C6" s="360"/>
      <c r="D6" s="360"/>
      <c r="E6" s="361" t="str">
        <f t="shared" si="0"/>
        <v/>
      </c>
    </row>
    <row r="7" spans="1:6">
      <c r="A7" s="362" t="s">
        <v>263</v>
      </c>
      <c r="B7" s="359" t="s">
        <v>268</v>
      </c>
      <c r="C7" s="360"/>
      <c r="D7" s="360"/>
      <c r="E7" s="361" t="str">
        <f t="shared" si="0"/>
        <v/>
      </c>
    </row>
    <row r="8" spans="1:6">
      <c r="A8" s="358"/>
      <c r="B8" s="363"/>
      <c r="C8" s="360"/>
      <c r="D8" s="360"/>
      <c r="E8" s="361" t="str">
        <f t="shared" si="0"/>
        <v/>
      </c>
    </row>
    <row r="9" spans="1:6">
      <c r="A9" s="362"/>
      <c r="B9" s="359"/>
      <c r="C9" s="360"/>
      <c r="D9" s="360"/>
      <c r="E9" s="361" t="str">
        <f t="shared" si="0"/>
        <v/>
      </c>
    </row>
    <row r="10" spans="1:6">
      <c r="A10" s="362"/>
      <c r="B10" s="359"/>
      <c r="C10" s="360"/>
      <c r="D10" s="360"/>
      <c r="E10" s="361" t="str">
        <f t="shared" si="0"/>
        <v/>
      </c>
    </row>
    <row r="11" spans="1:6">
      <c r="A11" s="362"/>
      <c r="B11" s="359"/>
      <c r="C11" s="360"/>
      <c r="D11" s="360"/>
      <c r="E11" s="361" t="str">
        <f t="shared" si="0"/>
        <v/>
      </c>
    </row>
    <row r="12" spans="1:6">
      <c r="A12" s="362"/>
      <c r="B12" s="359"/>
      <c r="C12" s="360"/>
      <c r="D12" s="360"/>
      <c r="E12" s="361" t="str">
        <f t="shared" si="0"/>
        <v/>
      </c>
    </row>
    <row r="13" spans="1:6">
      <c r="A13" s="362"/>
      <c r="B13" s="359"/>
      <c r="C13" s="360"/>
      <c r="D13" s="360"/>
      <c r="E13" s="361" t="str">
        <f t="shared" si="0"/>
        <v/>
      </c>
    </row>
    <row r="14" spans="1:6">
      <c r="A14" s="362"/>
      <c r="B14" s="359"/>
      <c r="C14" s="360"/>
      <c r="D14" s="360"/>
      <c r="E14" s="361" t="str">
        <f t="shared" si="0"/>
        <v/>
      </c>
    </row>
    <row r="15" spans="1:6">
      <c r="A15" s="362"/>
      <c r="B15" s="359"/>
      <c r="C15" s="360"/>
      <c r="D15" s="360"/>
      <c r="E15" s="361" t="str">
        <f t="shared" si="0"/>
        <v/>
      </c>
    </row>
    <row r="16" spans="1:6" ht="15.75" thickBot="1">
      <c r="A16" s="368"/>
      <c r="B16" s="369"/>
      <c r="C16" s="370"/>
      <c r="D16" s="370"/>
      <c r="E16" s="371" t="str">
        <f t="shared" si="0"/>
        <v/>
      </c>
    </row>
  </sheetData>
  <mergeCells count="1">
    <mergeCell ref="A1:E1"/>
  </mergeCells>
  <phoneticPr fontId="32" type="noConversion"/>
  <conditionalFormatting sqref="E4:E16">
    <cfRule type="cellIs" dxfId="1" priority="2" operator="notEqual">
      <formula>"OK"</formula>
    </cfRule>
  </conditionalFormatting>
  <conditionalFormatting sqref="D4:D982">
    <cfRule type="cellIs" dxfId="0" priority="1" operator="equal">
      <formula>"Error"</formula>
    </cfRule>
  </conditionalFormatting>
  <pageMargins left="0.70866141732283472" right="0.70866141732283472" top="0.74803149606299213" bottom="0.74803149606299213" header="0.31496062992125984" footer="0.31496062992125984"/>
  <pageSetup paperSize="9" scale="56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8C01CA-13E1-449D-8261-81EABCE3B46E}">
  <sheetPr codeName="Feuil8">
    <tabColor theme="5" tint="-0.249977111117893"/>
    <pageSetUpPr fitToPage="1"/>
  </sheetPr>
  <dimension ref="A1:N37"/>
  <sheetViews>
    <sheetView showGridLines="0" topLeftCell="A4" workbookViewId="0">
      <selection sqref="A1:J3"/>
    </sheetView>
  </sheetViews>
  <sheetFormatPr baseColWidth="10" defaultColWidth="10.7109375" defaultRowHeight="15"/>
  <cols>
    <col min="1" max="1" width="15.42578125" style="322" customWidth="1"/>
    <col min="2" max="2" width="15.85546875" style="322" customWidth="1"/>
    <col min="3" max="3" width="15.42578125" style="322" customWidth="1"/>
    <col min="4" max="6" width="10.7109375" style="322"/>
    <col min="7" max="7" width="10.28515625" style="322" customWidth="1"/>
    <col min="8" max="8" width="8.5703125" style="322" hidden="1" customWidth="1"/>
    <col min="9" max="9" width="7.85546875" style="322" customWidth="1"/>
    <col min="10" max="12" width="10.7109375" style="322"/>
    <col min="13" max="13" width="0" style="322" hidden="1" customWidth="1"/>
    <col min="14" max="16384" width="10.7109375" style="322"/>
  </cols>
  <sheetData>
    <row r="1" spans="1:14">
      <c r="A1" s="322" t="s">
        <v>212</v>
      </c>
      <c r="B1" s="352">
        <f>+'Renseignements salarié'!$B$9</f>
        <v>0</v>
      </c>
      <c r="E1" s="322" t="s">
        <v>39</v>
      </c>
      <c r="F1" s="352">
        <f>+'Renseignements salarié'!$B$12</f>
        <v>0</v>
      </c>
      <c r="I1" s="322" t="s">
        <v>259</v>
      </c>
      <c r="J1" s="353">
        <v>2020</v>
      </c>
      <c r="K1"/>
      <c r="M1" s="322" t="s">
        <v>274</v>
      </c>
    </row>
    <row r="2" spans="1:14">
      <c r="A2" s="322" t="s">
        <v>213</v>
      </c>
      <c r="B2" s="352">
        <f>+'Renseignements salarié'!$B$10</f>
        <v>0</v>
      </c>
      <c r="K2"/>
      <c r="M2" s="322" t="s">
        <v>273</v>
      </c>
    </row>
    <row r="3" spans="1:14" ht="16.5" thickBot="1">
      <c r="A3" s="322" t="s">
        <v>272</v>
      </c>
      <c r="B3" s="391" t="str">
        <f>IF('Renseignements salarié'!$B$13="","",VLOOKUP('Renseignements salarié'!$B$13,#REF!,3,FALSE))</f>
        <v/>
      </c>
      <c r="K3"/>
    </row>
    <row r="4" spans="1:14" customFormat="1" ht="45.75" thickBot="1">
      <c r="A4" s="323" t="str">
        <f>IF($B$3="","MOIS      Calcul en jours",CONCATENATE("MOIS      Calcul en jours"," ",$B$3))</f>
        <v>MOIS      Calcul en jours</v>
      </c>
      <c r="B4" s="375" t="str">
        <f>IF($B$3="","Jours Mois (y compris JF)",CONCATENATE("Jours mois"," ",$B$3,"             ","(y compris JF)"))</f>
        <v>Jours Mois (y compris JF)</v>
      </c>
      <c r="C4" s="375" t="str">
        <f>IF($B$3="","Jours Absence (y compris JF)",CONCATENATE("Jours Absence"," ",$B$3,"             ","(y compris JF)"))</f>
        <v>Jours Absence (y compris JF)</v>
      </c>
      <c r="D4" s="375" t="s">
        <v>275</v>
      </c>
      <c r="E4" s="375" t="s">
        <v>214</v>
      </c>
      <c r="F4" s="375" t="s">
        <v>215</v>
      </c>
      <c r="G4" s="375" t="s">
        <v>216</v>
      </c>
      <c r="H4" s="375"/>
      <c r="I4" s="375" t="s">
        <v>217</v>
      </c>
      <c r="J4" s="376" t="s">
        <v>218</v>
      </c>
    </row>
    <row r="5" spans="1:14" customFormat="1" thickTop="1">
      <c r="A5" s="377"/>
      <c r="B5" s="324" t="s">
        <v>219</v>
      </c>
      <c r="C5" s="324" t="s">
        <v>220</v>
      </c>
      <c r="D5" s="324" t="s">
        <v>221</v>
      </c>
      <c r="E5" s="324" t="s">
        <v>222</v>
      </c>
      <c r="F5" s="324" t="s">
        <v>223</v>
      </c>
      <c r="G5" s="324" t="s">
        <v>224</v>
      </c>
      <c r="H5" s="324"/>
      <c r="I5" s="324" t="s">
        <v>225</v>
      </c>
      <c r="J5" s="325" t="s">
        <v>226</v>
      </c>
    </row>
    <row r="6" spans="1:14" customFormat="1" ht="27" customHeight="1">
      <c r="A6" s="378" t="s">
        <v>227</v>
      </c>
      <c r="B6" s="326" t="s">
        <v>228</v>
      </c>
      <c r="C6" s="326" t="s">
        <v>228</v>
      </c>
      <c r="D6" s="326" t="s">
        <v>229</v>
      </c>
      <c r="E6" s="326" t="str">
        <f>+IF(B3="Ouvrés","C/5","C/6")</f>
        <v>C/6</v>
      </c>
      <c r="F6" s="326" t="s">
        <v>230</v>
      </c>
      <c r="G6" s="326" t="str">
        <f>+IF(B3="Ouvrés","E/48*25","E/48*30")</f>
        <v>E/48*30</v>
      </c>
      <c r="H6" s="326"/>
      <c r="I6" s="326" t="s">
        <v>228</v>
      </c>
      <c r="J6" s="327" t="s">
        <v>231</v>
      </c>
      <c r="N6" s="322"/>
    </row>
    <row r="7" spans="1:14" customFormat="1">
      <c r="A7" s="388">
        <f>DATE(J1,IF($B$3="Ouvrables",4,6),1)</f>
        <v>43983</v>
      </c>
      <c r="B7" s="328">
        <f>IF($B$3="Ouvrés",NETWORKDAYS(A7,EOMONTH(A7,0)),NETWORKDAYS.INTL(A7,EOMONTH(A7,0),11))</f>
        <v>26</v>
      </c>
      <c r="C7" s="396"/>
      <c r="D7" s="379">
        <f>B7-IF(C7="X",B7,C7)</f>
        <v>26</v>
      </c>
      <c r="E7" s="379">
        <f>IF($B$3="ouvrés",ROUND(D7/5,1),ROUND(D7/6,1))</f>
        <v>4.3</v>
      </c>
      <c r="F7" s="379">
        <f>SUM($E$7:E7)</f>
        <v>4.3</v>
      </c>
      <c r="G7" s="379">
        <f>IF($B$3="ouvrés",ROUND(F7/48*25,2),ROUND(F7/48*30,2))</f>
        <v>2.69</v>
      </c>
      <c r="H7" s="379">
        <f>IF($B$3="ouvrés",IF(C7&lt;&gt;"X",2.08,0),IF(C7&lt;&gt;"X",2.5,0))</f>
        <v>2.5</v>
      </c>
      <c r="I7" s="380">
        <f>SUM($H$7:H7)</f>
        <v>2.5</v>
      </c>
      <c r="J7" s="381">
        <f>IF(C7="X",0,MIN(G7,I7))</f>
        <v>2.5</v>
      </c>
      <c r="N7" s="322"/>
    </row>
    <row r="8" spans="1:14" customFormat="1">
      <c r="A8" s="389">
        <f>EDATE(A7,1)</f>
        <v>44013</v>
      </c>
      <c r="B8" s="329">
        <f t="shared" ref="B8:B18" si="0">IF($B$3="Ouvrés",NETWORKDAYS(A8,EOMONTH(A8,0)),NETWORKDAYS.INTL(A8,EOMONTH(A8,0),11))</f>
        <v>27</v>
      </c>
      <c r="C8" s="394"/>
      <c r="D8" s="382">
        <f t="shared" ref="D8:D18" si="1">B8-IF(C8="X",B8,C8)</f>
        <v>27</v>
      </c>
      <c r="E8" s="382">
        <f t="shared" ref="E8:E18" si="2">IF($B$3="ouvrés",ROUND(D8/5,1),ROUND(D8/6,1))</f>
        <v>4.5</v>
      </c>
      <c r="F8" s="382">
        <f>SUM($E$7:E8)</f>
        <v>8.8000000000000007</v>
      </c>
      <c r="G8" s="382">
        <f t="shared" ref="G8:G18" si="3">IF($B$3="ouvrés",ROUND(F8/48*25,2),ROUND(F8/48*30,2))</f>
        <v>5.5</v>
      </c>
      <c r="H8" s="382">
        <f t="shared" ref="H8:H18" si="4">IF($B$3="ouvrés",IF(C8&lt;&gt;"X",2.08,0),IF(C8&lt;&gt;"X",2.5,0))</f>
        <v>2.5</v>
      </c>
      <c r="I8" s="383">
        <f>SUM($H$7:H8)</f>
        <v>5</v>
      </c>
      <c r="J8" s="384">
        <f t="shared" ref="J8:J18" si="5">IF(C8="X",0,MIN(G8,I8))</f>
        <v>5</v>
      </c>
      <c r="N8" s="322"/>
    </row>
    <row r="9" spans="1:14" customFormat="1">
      <c r="A9" s="388">
        <f>EDATE(A8,1)</f>
        <v>44044</v>
      </c>
      <c r="B9" s="328">
        <f t="shared" si="0"/>
        <v>26</v>
      </c>
      <c r="C9" s="396"/>
      <c r="D9" s="379">
        <f t="shared" si="1"/>
        <v>26</v>
      </c>
      <c r="E9" s="379">
        <f t="shared" si="2"/>
        <v>4.3</v>
      </c>
      <c r="F9" s="379">
        <f>SUM($E$7:E9)</f>
        <v>13.100000000000001</v>
      </c>
      <c r="G9" s="379">
        <f t="shared" si="3"/>
        <v>8.19</v>
      </c>
      <c r="H9" s="379">
        <f t="shared" si="4"/>
        <v>2.5</v>
      </c>
      <c r="I9" s="380">
        <f>SUM($H$7:H9)</f>
        <v>7.5</v>
      </c>
      <c r="J9" s="381">
        <f t="shared" si="5"/>
        <v>7.5</v>
      </c>
      <c r="N9" s="322"/>
    </row>
    <row r="10" spans="1:14" customFormat="1">
      <c r="A10" s="389">
        <f t="shared" ref="A10:A18" si="6">EDATE(A9,1)</f>
        <v>44075</v>
      </c>
      <c r="B10" s="329">
        <f t="shared" si="0"/>
        <v>26</v>
      </c>
      <c r="C10" s="394"/>
      <c r="D10" s="382">
        <f t="shared" si="1"/>
        <v>26</v>
      </c>
      <c r="E10" s="382">
        <f t="shared" si="2"/>
        <v>4.3</v>
      </c>
      <c r="F10" s="382">
        <f>SUM($E$7:E10)</f>
        <v>17.400000000000002</v>
      </c>
      <c r="G10" s="382">
        <f t="shared" si="3"/>
        <v>10.88</v>
      </c>
      <c r="H10" s="382">
        <f t="shared" si="4"/>
        <v>2.5</v>
      </c>
      <c r="I10" s="383">
        <f>SUM($H$7:H10)</f>
        <v>10</v>
      </c>
      <c r="J10" s="384">
        <f t="shared" si="5"/>
        <v>10</v>
      </c>
    </row>
    <row r="11" spans="1:14" customFormat="1">
      <c r="A11" s="388">
        <f t="shared" si="6"/>
        <v>44105</v>
      </c>
      <c r="B11" s="328">
        <f t="shared" si="0"/>
        <v>27</v>
      </c>
      <c r="C11" s="396"/>
      <c r="D11" s="379">
        <f t="shared" si="1"/>
        <v>27</v>
      </c>
      <c r="E11" s="379">
        <f t="shared" si="2"/>
        <v>4.5</v>
      </c>
      <c r="F11" s="379">
        <f>SUM($E$7:E11)</f>
        <v>21.900000000000002</v>
      </c>
      <c r="G11" s="379">
        <f t="shared" si="3"/>
        <v>13.69</v>
      </c>
      <c r="H11" s="379">
        <f t="shared" si="4"/>
        <v>2.5</v>
      </c>
      <c r="I11" s="380">
        <f>SUM($H$7:H11)</f>
        <v>12.5</v>
      </c>
      <c r="J11" s="381">
        <f t="shared" si="5"/>
        <v>12.5</v>
      </c>
    </row>
    <row r="12" spans="1:14" customFormat="1">
      <c r="A12" s="389">
        <f t="shared" si="6"/>
        <v>44136</v>
      </c>
      <c r="B12" s="329">
        <f t="shared" si="0"/>
        <v>25</v>
      </c>
      <c r="C12" s="394"/>
      <c r="D12" s="382">
        <f t="shared" si="1"/>
        <v>25</v>
      </c>
      <c r="E12" s="382">
        <f t="shared" si="2"/>
        <v>4.2</v>
      </c>
      <c r="F12" s="382">
        <f>SUM($E$7:E12)</f>
        <v>26.1</v>
      </c>
      <c r="G12" s="382">
        <f t="shared" si="3"/>
        <v>16.309999999999999</v>
      </c>
      <c r="H12" s="382">
        <f t="shared" si="4"/>
        <v>2.5</v>
      </c>
      <c r="I12" s="383">
        <f>SUM($H$7:H12)</f>
        <v>15</v>
      </c>
      <c r="J12" s="384">
        <f t="shared" si="5"/>
        <v>15</v>
      </c>
    </row>
    <row r="13" spans="1:14" customFormat="1">
      <c r="A13" s="388">
        <f t="shared" si="6"/>
        <v>44166</v>
      </c>
      <c r="B13" s="328">
        <f t="shared" si="0"/>
        <v>27</v>
      </c>
      <c r="C13" s="396"/>
      <c r="D13" s="379">
        <f t="shared" si="1"/>
        <v>27</v>
      </c>
      <c r="E13" s="379">
        <f t="shared" si="2"/>
        <v>4.5</v>
      </c>
      <c r="F13" s="379">
        <f>SUM($E$7:E13)</f>
        <v>30.6</v>
      </c>
      <c r="G13" s="379">
        <f t="shared" si="3"/>
        <v>19.13</v>
      </c>
      <c r="H13" s="379">
        <f t="shared" si="4"/>
        <v>2.5</v>
      </c>
      <c r="I13" s="380">
        <f>SUM($H$7:H13)</f>
        <v>17.5</v>
      </c>
      <c r="J13" s="381">
        <f t="shared" si="5"/>
        <v>17.5</v>
      </c>
    </row>
    <row r="14" spans="1:14" customFormat="1">
      <c r="A14" s="389">
        <f t="shared" si="6"/>
        <v>44197</v>
      </c>
      <c r="B14" s="329">
        <f t="shared" si="0"/>
        <v>26</v>
      </c>
      <c r="C14" s="394"/>
      <c r="D14" s="382">
        <f t="shared" si="1"/>
        <v>26</v>
      </c>
      <c r="E14" s="382">
        <f t="shared" si="2"/>
        <v>4.3</v>
      </c>
      <c r="F14" s="382">
        <f>SUM($E$7:E14)</f>
        <v>34.9</v>
      </c>
      <c r="G14" s="382">
        <f t="shared" si="3"/>
        <v>21.81</v>
      </c>
      <c r="H14" s="382">
        <f t="shared" si="4"/>
        <v>2.5</v>
      </c>
      <c r="I14" s="383">
        <f>SUM($H$7:H14)</f>
        <v>20</v>
      </c>
      <c r="J14" s="384">
        <f t="shared" si="5"/>
        <v>20</v>
      </c>
    </row>
    <row r="15" spans="1:14" customFormat="1">
      <c r="A15" s="388">
        <f t="shared" si="6"/>
        <v>44228</v>
      </c>
      <c r="B15" s="328">
        <f t="shared" si="0"/>
        <v>24</v>
      </c>
      <c r="C15" s="396"/>
      <c r="D15" s="379">
        <f t="shared" si="1"/>
        <v>24</v>
      </c>
      <c r="E15" s="379">
        <f t="shared" si="2"/>
        <v>4</v>
      </c>
      <c r="F15" s="379">
        <f>SUM($E$7:E15)</f>
        <v>38.9</v>
      </c>
      <c r="G15" s="379">
        <f t="shared" si="3"/>
        <v>24.31</v>
      </c>
      <c r="H15" s="379">
        <f t="shared" si="4"/>
        <v>2.5</v>
      </c>
      <c r="I15" s="380">
        <f>SUM($H$7:H15)</f>
        <v>22.5</v>
      </c>
      <c r="J15" s="381">
        <f t="shared" si="5"/>
        <v>22.5</v>
      </c>
    </row>
    <row r="16" spans="1:14" customFormat="1">
      <c r="A16" s="389">
        <f t="shared" si="6"/>
        <v>44256</v>
      </c>
      <c r="B16" s="329">
        <f t="shared" si="0"/>
        <v>27</v>
      </c>
      <c r="C16" s="394"/>
      <c r="D16" s="382">
        <f t="shared" si="1"/>
        <v>27</v>
      </c>
      <c r="E16" s="382">
        <f t="shared" si="2"/>
        <v>4.5</v>
      </c>
      <c r="F16" s="382">
        <f>SUM($E$7:E16)</f>
        <v>43.4</v>
      </c>
      <c r="G16" s="382">
        <f t="shared" si="3"/>
        <v>27.13</v>
      </c>
      <c r="H16" s="382">
        <f t="shared" si="4"/>
        <v>2.5</v>
      </c>
      <c r="I16" s="383">
        <f>SUM($H$7:H16)</f>
        <v>25</v>
      </c>
      <c r="J16" s="384">
        <f t="shared" si="5"/>
        <v>25</v>
      </c>
    </row>
    <row r="17" spans="1:10" customFormat="1">
      <c r="A17" s="388">
        <f t="shared" si="6"/>
        <v>44287</v>
      </c>
      <c r="B17" s="328">
        <f t="shared" si="0"/>
        <v>26</v>
      </c>
      <c r="C17" s="396"/>
      <c r="D17" s="379">
        <f t="shared" si="1"/>
        <v>26</v>
      </c>
      <c r="E17" s="379">
        <f t="shared" si="2"/>
        <v>4.3</v>
      </c>
      <c r="F17" s="379">
        <f>SUM($E$7:E17)</f>
        <v>47.699999999999996</v>
      </c>
      <c r="G17" s="379">
        <f t="shared" si="3"/>
        <v>29.81</v>
      </c>
      <c r="H17" s="379">
        <f t="shared" si="4"/>
        <v>2.5</v>
      </c>
      <c r="I17" s="380">
        <f>SUM($H$7:H17)</f>
        <v>27.5</v>
      </c>
      <c r="J17" s="381">
        <f t="shared" si="5"/>
        <v>27.5</v>
      </c>
    </row>
    <row r="18" spans="1:10" customFormat="1" ht="15.75" thickBot="1">
      <c r="A18" s="390">
        <f t="shared" si="6"/>
        <v>44317</v>
      </c>
      <c r="B18" s="330">
        <f t="shared" si="0"/>
        <v>26</v>
      </c>
      <c r="C18" s="395"/>
      <c r="D18" s="385">
        <f t="shared" si="1"/>
        <v>26</v>
      </c>
      <c r="E18" s="385">
        <f t="shared" si="2"/>
        <v>4.3</v>
      </c>
      <c r="F18" s="385">
        <f>SUM($E$7:E18)</f>
        <v>51.999999999999993</v>
      </c>
      <c r="G18" s="385">
        <f t="shared" si="3"/>
        <v>32.5</v>
      </c>
      <c r="H18" s="385">
        <f t="shared" si="4"/>
        <v>2.5</v>
      </c>
      <c r="I18" s="386">
        <f>SUM($H$7:H18)</f>
        <v>30</v>
      </c>
      <c r="J18" s="387">
        <f t="shared" si="5"/>
        <v>30</v>
      </c>
    </row>
    <row r="19" spans="1:10" customFormat="1" ht="12.75"/>
    <row r="20" spans="1:10" customFormat="1" ht="15.75" customHeight="1" thickBot="1"/>
    <row r="21" spans="1:10" customFormat="1" ht="15.75" thickBot="1">
      <c r="D21" s="566" t="s">
        <v>232</v>
      </c>
      <c r="E21" s="567"/>
      <c r="F21" s="331">
        <f>ROUNDUP(MAX(J7:J18),0)</f>
        <v>30</v>
      </c>
      <c r="G21" s="332" t="s">
        <v>233</v>
      </c>
      <c r="J21" s="333"/>
    </row>
    <row r="22" spans="1:10" customFormat="1" ht="12.75"/>
    <row r="23" spans="1:10" customFormat="1" ht="12.75"/>
    <row r="24" spans="1:10" customFormat="1">
      <c r="A24" s="333" t="s">
        <v>234</v>
      </c>
    </row>
    <row r="25" spans="1:10" customFormat="1">
      <c r="A25" s="333" t="s">
        <v>235</v>
      </c>
      <c r="B25" s="333"/>
      <c r="C25" s="333"/>
      <c r="D25" s="333"/>
      <c r="E25" s="333"/>
      <c r="F25" s="333"/>
      <c r="G25" s="333"/>
      <c r="H25" s="333"/>
      <c r="I25" s="333"/>
      <c r="J25" s="333"/>
    </row>
    <row r="26" spans="1:10" customFormat="1">
      <c r="A26" s="333"/>
      <c r="B26" s="333"/>
      <c r="C26" s="333"/>
      <c r="D26" s="333"/>
      <c r="E26" s="333"/>
      <c r="F26" s="333"/>
      <c r="G26" s="333"/>
      <c r="H26" s="333"/>
      <c r="I26" s="333"/>
      <c r="J26" s="333"/>
    </row>
    <row r="27" spans="1:10" customFormat="1">
      <c r="B27" t="s">
        <v>236</v>
      </c>
      <c r="C27" s="355" t="s">
        <v>279</v>
      </c>
      <c r="E27" t="s">
        <v>237</v>
      </c>
    </row>
    <row r="28" spans="1:10" customFormat="1" ht="12.75"/>
    <row r="29" spans="1:10" customFormat="1">
      <c r="C29" t="s">
        <v>280</v>
      </c>
      <c r="E29" t="s">
        <v>238</v>
      </c>
    </row>
    <row r="30" spans="1:10" customFormat="1">
      <c r="E30" t="s">
        <v>239</v>
      </c>
    </row>
    <row r="31" spans="1:10" customFormat="1" ht="12.75"/>
    <row r="32" spans="1:10" customFormat="1">
      <c r="C32" t="s">
        <v>281</v>
      </c>
      <c r="E32" t="s">
        <v>240</v>
      </c>
    </row>
    <row r="33" spans="1:11" customFormat="1" ht="12.75"/>
    <row r="34" spans="1:11" customFormat="1">
      <c r="C34" t="s">
        <v>282</v>
      </c>
      <c r="E34" t="s">
        <v>241</v>
      </c>
    </row>
    <row r="35" spans="1:11" customFormat="1">
      <c r="E35" t="s">
        <v>242</v>
      </c>
    </row>
    <row r="36" spans="1:11" customFormat="1" ht="12.75"/>
    <row r="37" spans="1:11">
      <c r="A37" s="334"/>
      <c r="B37" s="334"/>
      <c r="C37" s="334"/>
      <c r="D37" s="334"/>
      <c r="E37" s="334"/>
      <c r="F37" s="334"/>
      <c r="G37" s="334"/>
      <c r="H37" s="334"/>
      <c r="I37" s="334"/>
      <c r="J37" s="334"/>
      <c r="K37" s="334"/>
    </row>
  </sheetData>
  <sheetProtection selectLockedCells="1" selectUnlockedCells="1"/>
  <mergeCells count="1">
    <mergeCell ref="D21:E21"/>
  </mergeCells>
  <dataValidations count="2">
    <dataValidation type="list" allowBlank="1" showInputMessage="1" showErrorMessage="1" errorTitle="Formule protégée" error="Formule protégée_x000a_Annuler votre saisie" sqref="D5:J5 D19:E21 G19:J21 F19:F20" xr:uid="{5F159613-6291-48E0-9CB0-2CB322D88049}">
      <mc:AlternateContent xmlns:x12ac="http://schemas.microsoft.com/office/spreadsheetml/2011/1/ac" xmlns:mc="http://schemas.openxmlformats.org/markup-compatibility/2006">
        <mc:Choice Requires="x12ac">
          <x12ac:list>""""""</x12ac:list>
        </mc:Choice>
        <mc:Fallback>
          <formula1>""""""</formula1>
        </mc:Fallback>
      </mc:AlternateContent>
    </dataValidation>
    <dataValidation allowBlank="1" showInputMessage="1" showErrorMessage="1" errorTitle="Formule protégée" error="Formule protégée_x000a_Annuler votre saisie" sqref="B1:B2 F1 D7:J18 F21" xr:uid="{58DEDCF5-E52D-4D24-8CC3-96CC40858162}"/>
  </dataValidations>
  <pageMargins left="0.70866141732283472" right="0.70866141732283472" top="0.74803149606299213" bottom="0.74803149606299213" header="0.51181102362204722" footer="0.51181102362204722"/>
  <pageSetup scale="89" firstPageNumber="0" orientation="landscape" r:id="rId1"/>
  <headerFooter alignWithMargins="0"/>
  <ignoredErrors>
    <ignoredError sqref="B3 B1:B2" unlockedFormula="1"/>
  </ignoredError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C41E29-72EB-43D2-9CC1-3625C8CDFFA6}">
  <sheetPr codeName="Feuil7"/>
  <dimension ref="A1"/>
  <sheetViews>
    <sheetView workbookViewId="0">
      <selection activeCell="G20" sqref="G20"/>
    </sheetView>
  </sheetViews>
  <sheetFormatPr baseColWidth="10" defaultRowHeight="15"/>
  <cols>
    <col min="1" max="16384" width="11.42578125" style="208"/>
  </cols>
  <sheetData/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C2475-BD40-4607-9F00-D1A093E8FB11}">
  <sheetPr codeName="Feuil4"/>
  <dimension ref="B2:C7"/>
  <sheetViews>
    <sheetView workbookViewId="0">
      <selection activeCell="I6" sqref="I6"/>
    </sheetView>
  </sheetViews>
  <sheetFormatPr baseColWidth="10" defaultRowHeight="15"/>
  <cols>
    <col min="1" max="16384" width="11.42578125" style="208"/>
  </cols>
  <sheetData>
    <row r="2" spans="2:3">
      <c r="B2" s="209" t="s">
        <v>131</v>
      </c>
    </row>
    <row r="6" spans="2:3">
      <c r="B6" s="208" t="s">
        <v>125</v>
      </c>
      <c r="C6" s="208" t="s">
        <v>126</v>
      </c>
    </row>
    <row r="7" spans="2:3">
      <c r="B7" s="208" t="s">
        <v>127</v>
      </c>
    </row>
  </sheetData>
  <pageMargins left="0.7" right="0.7" top="0.75" bottom="0.75" header="0.3" footer="0.3"/>
  <pageSetup paperSize="9" orientation="portrait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EDD9E6ED1667BC4AB567CF4208DA216F" ma:contentTypeVersion="2" ma:contentTypeDescription="Create a new document." ma:contentTypeScope="" ma:versionID="567bb6c619cb6cf5477fe12c0c57a57b">
  <xsd:schema xmlns:xsd="http://www.w3.org/2001/XMLSchema" xmlns:xs="http://www.w3.org/2001/XMLSchema" xmlns:p="http://schemas.microsoft.com/office/2006/metadata/properties" xmlns:ns3="0f695c54-cc78-4481-9e21-a992ac18b97c" targetNamespace="http://schemas.microsoft.com/office/2006/metadata/properties" ma:root="true" ma:fieldsID="6c509366a31a4ba17c214e49cff159d3" ns3:_="">
    <xsd:import namespace="0f695c54-cc78-4481-9e21-a992ac18b97c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695c54-cc78-4481-9e21-a992ac18b9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C636F5-931E-4F44-8CFB-4C68C4AC9F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21FBB0F-B1FE-431F-8440-E52C00B301A2}">
  <ds:schemaRefs>
    <ds:schemaRef ds:uri="http://purl.org/dc/terms/"/>
    <ds:schemaRef ds:uri="http://schemas.openxmlformats.org/package/2006/metadata/core-properties"/>
    <ds:schemaRef ds:uri="http://purl.org/dc/dcmitype/"/>
    <ds:schemaRef ds:uri="http://schemas.microsoft.com/office/infopath/2007/PartnerControls"/>
    <ds:schemaRef ds:uri="0f695c54-cc78-4481-9e21-a992ac18b97c"/>
    <ds:schemaRef ds:uri="http://purl.org/dc/elements/1.1/"/>
    <ds:schemaRef ds:uri="http://schemas.microsoft.com/office/2006/metadata/properties"/>
    <ds:schemaRef ds:uri="http://schemas.microsoft.com/office/2006/documentManagement/types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C0220790-B476-4A05-99BA-51F9D6CA8B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695c54-cc78-4481-9e21-a992ac18b97c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9</vt:i4>
      </vt:variant>
      <vt:variant>
        <vt:lpstr>Plages nommées</vt:lpstr>
      </vt:variant>
      <vt:variant>
        <vt:i4>4</vt:i4>
      </vt:variant>
    </vt:vector>
  </HeadingPairs>
  <TitlesOfParts>
    <vt:vector size="13" baseType="lpstr">
      <vt:lpstr>CritèresConventionsCollectives</vt:lpstr>
      <vt:lpstr>Mode opératoire</vt:lpstr>
      <vt:lpstr>Renseignements salarié</vt:lpstr>
      <vt:lpstr>Feuille Calcul Indemnités</vt:lpstr>
      <vt:lpstr>Courriers Salariés</vt:lpstr>
      <vt:lpstr>CONTROLE DSN FIN CONTRAT</vt:lpstr>
      <vt:lpstr>Calcul CP</vt:lpstr>
      <vt:lpstr>CALCUL ES</vt:lpstr>
      <vt:lpstr>A saisir en paie</vt:lpstr>
      <vt:lpstr>Impression</vt:lpstr>
      <vt:lpstr>'Courriers Salariés'!Zone_d_impression</vt:lpstr>
      <vt:lpstr>'Feuille Calcul Indemnités'!Zone_d_impression</vt:lpstr>
      <vt:lpstr>'Renseignements salarié'!Zone_d_impression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POISSON Frédéric</dc:creator>
  <cp:lastModifiedBy>POISSON Frédéric</cp:lastModifiedBy>
  <cp:lastPrinted>2020-09-22T10:11:52Z</cp:lastPrinted>
  <dcterms:created xsi:type="dcterms:W3CDTF">2020-06-24T06:51:16Z</dcterms:created>
  <dcterms:modified xsi:type="dcterms:W3CDTF">2020-09-22T10:11:56Z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0x010100EDD9E6ED1667BC4AB567CF4208DA216F</vt:lpwstr>
  </property>
</Properties>
</file>