
<file path=[Content_Types].xml><?xml version="1.0" encoding="utf-8"?>
<Types xmlns="http://schemas.openxmlformats.org/package/2006/content-types">
  <Override PartName="/xl/worksheets/sheet15.xml" ContentType="application/vnd.openxmlformats-officedocument.spreadsheetml.worksheet+xml"/>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Default Extension="png" ContentType="image/png"/>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ables/table11.xml" ContentType="application/vnd.openxmlformats-officedocument.spreadsheetml.table+xml"/>
  <Override PartName="/xl/tables/table12.xml" ContentType="application/vnd.openxmlformats-officedocument.spreadsheetml.table+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tables/table10.xml" ContentType="application/vnd.openxmlformats-officedocument.spreadsheetml.table+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tables/table9.xml" ContentType="application/vnd.openxmlformats-officedocument.spreadsheetml.table+xml"/>
  <Override PartName="/xl/calcChain.xml" ContentType="application/vnd.openxmlformats-officedocument.spreadsheetml.calcChain+xml"/>
  <Override PartName="/xl/sharedStrings.xml" ContentType="application/vnd.openxmlformats-officedocument.spreadsheetml.sharedStrings+xml"/>
  <Override PartName="/xl/tables/table7.xml" ContentType="application/vnd.openxmlformats-officedocument.spreadsheetml.table+xml"/>
  <Override PartName="/xl/tables/table8.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24240" windowHeight="13740" tabRatio="686"/>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Total Annuel" sheetId="26" r:id="rId13"/>
    <sheet name="Noms des employés" sheetId="16" r:id="rId14"/>
    <sheet name="Valeurs" sheetId="27" r:id="rId15"/>
  </sheets>
  <definedNames>
    <definedName name="AnnéeCalendrier">Janvier!$AH$4</definedName>
    <definedName name="CléCongés">Janvier!$F$2</definedName>
    <definedName name="CléMaladie">Janvier!$J$2</definedName>
    <definedName name="CléPersonnalisée1">Janvier!$M$2</definedName>
    <definedName name="CléPersonnalisée2">Janvier!$P$2</definedName>
    <definedName name="CléTravail">Janvier!$C$2</definedName>
    <definedName name="ÉtiquetteCléCongé">Janvier!$D$2</definedName>
    <definedName name="ÉtiquetteCléMaladie">Janvier!$K$2</definedName>
    <definedName name="ÉtiquetteCléPersonnalisée1">Janvier!$N$2</definedName>
    <definedName name="ÉtiquetteCléPersonnalisée2">Janvier!$Q$2</definedName>
    <definedName name="ÉtiquetteCléPersonnel">Janvier!$G$2</definedName>
    <definedName name="_xlnm.Print_Titles" localSheetId="7">Août!$4:$6</definedName>
    <definedName name="_xlnm.Print_Titles" localSheetId="3">Avril!$4:$6</definedName>
    <definedName name="_xlnm.Print_Titles" localSheetId="11">Décembre!$4:$6</definedName>
    <definedName name="_xlnm.Print_Titles" localSheetId="1">Février!$4:$6</definedName>
    <definedName name="_xlnm.Print_Titles" localSheetId="0">Janvier!$4:$6</definedName>
    <definedName name="_xlnm.Print_Titles" localSheetId="6">Juillet!$4:$6</definedName>
    <definedName name="_xlnm.Print_Titles" localSheetId="5">Juin!$4:$6</definedName>
    <definedName name="_xlnm.Print_Titles" localSheetId="4">Mai!$4:$6</definedName>
    <definedName name="_xlnm.Print_Titles" localSheetId="2">Mars!$4:$6</definedName>
    <definedName name="_xlnm.Print_Titles" localSheetId="10">Novembre!$4:$6</definedName>
    <definedName name="_xlnm.Print_Titles" localSheetId="9">Octobre!$4:$6</definedName>
    <definedName name="_xlnm.Print_Titles" localSheetId="8">Septembre!$4:$6</definedName>
    <definedName name="Nom_clé">Janvier!$B$2</definedName>
    <definedName name="NomMois" localSheetId="7">Août!$B$4</definedName>
    <definedName name="NomMois" localSheetId="3">Avril!$B$4</definedName>
    <definedName name="NomMois" localSheetId="11">Décembre!$B$4</definedName>
    <definedName name="NomMois" localSheetId="1">Février!$B$4</definedName>
    <definedName name="NomMois" localSheetId="0">Janvier!$B$4</definedName>
    <definedName name="NomMois" localSheetId="6">Juillet!$B$4</definedName>
    <definedName name="NomMois" localSheetId="5">Juin!$B$4</definedName>
    <definedName name="NomMois" localSheetId="4">Mai!$B$4</definedName>
    <definedName name="NomMois" localSheetId="2">Mars!$B$4</definedName>
    <definedName name="NomMois" localSheetId="10">Novembre!$B$4</definedName>
    <definedName name="NomMois" localSheetId="9">Octobre!$B$4</definedName>
    <definedName name="NomMois" localSheetId="8">Septembre!$B$4</definedName>
    <definedName name="Titre_Absence_Employé">Janvier!$B$1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NomEmployé[[#Headers],[Noms des employés]]</definedName>
  </definedNames>
  <calcPr calcId="12451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I7" i="4"/>
  <c r="AJ7"/>
  <c r="AK7"/>
  <c r="AH7"/>
  <c r="AH8"/>
  <c r="AH9"/>
  <c r="AH10"/>
  <c r="AH11"/>
  <c r="AI13" l="1"/>
  <c r="AJ13"/>
  <c r="AK13"/>
  <c r="AH13"/>
  <c r="B13" i="26" l="1"/>
  <c r="C13"/>
  <c r="D13"/>
  <c r="E13"/>
  <c r="B14"/>
  <c r="C14"/>
  <c r="D14"/>
  <c r="E14"/>
  <c r="B15"/>
  <c r="C15"/>
  <c r="D15"/>
  <c r="E15"/>
  <c r="B16"/>
  <c r="C16"/>
  <c r="D16"/>
  <c r="E16"/>
  <c r="B17"/>
  <c r="C17"/>
  <c r="D17"/>
  <c r="E17"/>
  <c r="B18"/>
  <c r="C18"/>
  <c r="D18"/>
  <c r="E18"/>
  <c r="B19"/>
  <c r="C19"/>
  <c r="D19"/>
  <c r="E19"/>
  <c r="B20"/>
  <c r="C20"/>
  <c r="D20"/>
  <c r="E20"/>
  <c r="B21"/>
  <c r="C21"/>
  <c r="D21"/>
  <c r="E21"/>
  <c r="E12" l="1"/>
  <c r="D12"/>
  <c r="C12"/>
  <c r="B12"/>
  <c r="E11"/>
  <c r="D11"/>
  <c r="C11"/>
  <c r="B11"/>
  <c r="E10"/>
  <c r="D10"/>
  <c r="C10"/>
  <c r="B10"/>
  <c r="E9"/>
  <c r="D9"/>
  <c r="C9"/>
  <c r="B9"/>
  <c r="E8"/>
  <c r="D8"/>
  <c r="C8"/>
  <c r="B8"/>
  <c r="A1"/>
  <c r="AH4" i="23"/>
  <c r="B1" i="5"/>
  <c r="AH4"/>
  <c r="C5"/>
  <c r="D5"/>
  <c r="E5"/>
  <c r="F5"/>
  <c r="G5"/>
  <c r="H5"/>
  <c r="I5"/>
  <c r="J5"/>
  <c r="K5"/>
  <c r="L5"/>
  <c r="M5"/>
  <c r="N5"/>
  <c r="O5"/>
  <c r="P5"/>
  <c r="Q5"/>
  <c r="R5"/>
  <c r="S5"/>
  <c r="T5"/>
  <c r="U5"/>
  <c r="V5"/>
  <c r="W5"/>
  <c r="X5"/>
  <c r="Y5"/>
  <c r="Z5"/>
  <c r="AA5"/>
  <c r="AB5"/>
  <c r="AC5"/>
  <c r="AD5"/>
  <c r="AE5"/>
  <c r="B13"/>
  <c r="C13"/>
  <c r="D13"/>
  <c r="E13"/>
  <c r="F13"/>
  <c r="G13"/>
  <c r="H13"/>
  <c r="I13"/>
  <c r="J13"/>
  <c r="K13"/>
  <c r="L13"/>
  <c r="M13"/>
  <c r="N13"/>
  <c r="O13"/>
  <c r="P13"/>
  <c r="Q13"/>
  <c r="R13"/>
  <c r="S13"/>
  <c r="T13"/>
  <c r="U13"/>
  <c r="V13"/>
  <c r="W13"/>
  <c r="X13"/>
  <c r="Y13"/>
  <c r="Z13"/>
  <c r="AA13"/>
  <c r="AB13"/>
  <c r="AC13"/>
  <c r="AD13"/>
  <c r="AE13"/>
  <c r="AG5" i="17" l="1"/>
  <c r="AF5"/>
  <c r="AE5"/>
  <c r="AD5"/>
  <c r="AC5"/>
  <c r="AB5"/>
  <c r="AA5"/>
  <c r="Z5"/>
  <c r="Y5"/>
  <c r="X5"/>
  <c r="W5"/>
  <c r="V5"/>
  <c r="U5"/>
  <c r="T5"/>
  <c r="S5"/>
  <c r="R5"/>
  <c r="Q5"/>
  <c r="P5"/>
  <c r="O5"/>
  <c r="N5"/>
  <c r="M5"/>
  <c r="L5"/>
  <c r="K5"/>
  <c r="J5"/>
  <c r="I5"/>
  <c r="H5"/>
  <c r="G5"/>
  <c r="F5"/>
  <c r="E5"/>
  <c r="D5"/>
  <c r="C5"/>
  <c r="AF5" i="18"/>
  <c r="AE5"/>
  <c r="AD5"/>
  <c r="AC5"/>
  <c r="AB5"/>
  <c r="AA5"/>
  <c r="Z5"/>
  <c r="Y5"/>
  <c r="X5"/>
  <c r="W5"/>
  <c r="V5"/>
  <c r="U5"/>
  <c r="T5"/>
  <c r="S5"/>
  <c r="R5"/>
  <c r="Q5"/>
  <c r="P5"/>
  <c r="O5"/>
  <c r="N5"/>
  <c r="M5"/>
  <c r="L5"/>
  <c r="K5"/>
  <c r="J5"/>
  <c r="I5"/>
  <c r="H5"/>
  <c r="G5"/>
  <c r="F5"/>
  <c r="E5"/>
  <c r="D5"/>
  <c r="C5"/>
  <c r="AG5" i="19"/>
  <c r="AF5"/>
  <c r="AE5"/>
  <c r="AD5"/>
  <c r="AC5"/>
  <c r="AB5"/>
  <c r="AA5"/>
  <c r="Z5"/>
  <c r="Y5"/>
  <c r="X5"/>
  <c r="W5"/>
  <c r="V5"/>
  <c r="U5"/>
  <c r="T5"/>
  <c r="S5"/>
  <c r="R5"/>
  <c r="Q5"/>
  <c r="P5"/>
  <c r="O5"/>
  <c r="N5"/>
  <c r="M5"/>
  <c r="L5"/>
  <c r="K5"/>
  <c r="J5"/>
  <c r="I5"/>
  <c r="H5"/>
  <c r="G5"/>
  <c r="F5"/>
  <c r="E5"/>
  <c r="D5"/>
  <c r="C5"/>
  <c r="AF5" i="20"/>
  <c r="AE5"/>
  <c r="AD5"/>
  <c r="AC5"/>
  <c r="AB5"/>
  <c r="AA5"/>
  <c r="Z5"/>
  <c r="Y5"/>
  <c r="X5"/>
  <c r="W5"/>
  <c r="V5"/>
  <c r="U5"/>
  <c r="T5"/>
  <c r="S5"/>
  <c r="R5"/>
  <c r="Q5"/>
  <c r="P5"/>
  <c r="O5"/>
  <c r="N5"/>
  <c r="M5"/>
  <c r="L5"/>
  <c r="K5"/>
  <c r="J5"/>
  <c r="I5"/>
  <c r="H5"/>
  <c r="G5"/>
  <c r="F5"/>
  <c r="E5"/>
  <c r="D5"/>
  <c r="C5"/>
  <c r="AG5" i="21"/>
  <c r="AF5"/>
  <c r="AE5"/>
  <c r="AD5"/>
  <c r="AC5"/>
  <c r="AB5"/>
  <c r="AA5"/>
  <c r="Z5"/>
  <c r="Y5"/>
  <c r="X5"/>
  <c r="W5"/>
  <c r="V5"/>
  <c r="U5"/>
  <c r="T5"/>
  <c r="S5"/>
  <c r="R5"/>
  <c r="Q5"/>
  <c r="P5"/>
  <c r="O5"/>
  <c r="N5"/>
  <c r="M5"/>
  <c r="L5"/>
  <c r="K5"/>
  <c r="J5"/>
  <c r="I5"/>
  <c r="H5"/>
  <c r="G5"/>
  <c r="F5"/>
  <c r="E5"/>
  <c r="D5"/>
  <c r="C5"/>
  <c r="AG5" i="22"/>
  <c r="AF5"/>
  <c r="AE5"/>
  <c r="AD5"/>
  <c r="AC5"/>
  <c r="AB5"/>
  <c r="AA5"/>
  <c r="Z5"/>
  <c r="Y5"/>
  <c r="X5"/>
  <c r="W5"/>
  <c r="V5"/>
  <c r="U5"/>
  <c r="T5"/>
  <c r="S5"/>
  <c r="R5"/>
  <c r="Q5"/>
  <c r="P5"/>
  <c r="O5"/>
  <c r="N5"/>
  <c r="M5"/>
  <c r="L5"/>
  <c r="K5"/>
  <c r="J5"/>
  <c r="I5"/>
  <c r="H5"/>
  <c r="G5"/>
  <c r="F5"/>
  <c r="E5"/>
  <c r="D5"/>
  <c r="C5"/>
  <c r="AF5" i="23"/>
  <c r="AE5"/>
  <c r="AD5"/>
  <c r="AC5"/>
  <c r="AB5"/>
  <c r="AA5"/>
  <c r="Z5"/>
  <c r="Y5"/>
  <c r="X5"/>
  <c r="W5"/>
  <c r="V5"/>
  <c r="U5"/>
  <c r="T5"/>
  <c r="S5"/>
  <c r="R5"/>
  <c r="Q5"/>
  <c r="P5"/>
  <c r="O5"/>
  <c r="N5"/>
  <c r="M5"/>
  <c r="L5"/>
  <c r="K5"/>
  <c r="J5"/>
  <c r="I5"/>
  <c r="H5"/>
  <c r="G5"/>
  <c r="F5"/>
  <c r="E5"/>
  <c r="D5"/>
  <c r="C5"/>
  <c r="AG5" i="24"/>
  <c r="AF5"/>
  <c r="AE5"/>
  <c r="AD5"/>
  <c r="AC5"/>
  <c r="AB5"/>
  <c r="AA5"/>
  <c r="Z5"/>
  <c r="Y5"/>
  <c r="X5"/>
  <c r="W5"/>
  <c r="V5"/>
  <c r="U5"/>
  <c r="T5"/>
  <c r="S5"/>
  <c r="R5"/>
  <c r="Q5"/>
  <c r="P5"/>
  <c r="O5"/>
  <c r="N5"/>
  <c r="M5"/>
  <c r="L5"/>
  <c r="K5"/>
  <c r="J5"/>
  <c r="I5"/>
  <c r="H5"/>
  <c r="G5"/>
  <c r="F5"/>
  <c r="E5"/>
  <c r="D5"/>
  <c r="C5"/>
  <c r="AF5" i="25"/>
  <c r="AE5"/>
  <c r="AD5"/>
  <c r="AC5"/>
  <c r="AB5"/>
  <c r="AA5"/>
  <c r="Z5"/>
  <c r="Y5"/>
  <c r="X5"/>
  <c r="W5"/>
  <c r="V5"/>
  <c r="U5"/>
  <c r="T5"/>
  <c r="S5"/>
  <c r="R5"/>
  <c r="Q5"/>
  <c r="P5"/>
  <c r="O5"/>
  <c r="N5"/>
  <c r="M5"/>
  <c r="L5"/>
  <c r="K5"/>
  <c r="J5"/>
  <c r="I5"/>
  <c r="H5"/>
  <c r="G5"/>
  <c r="F5"/>
  <c r="E5"/>
  <c r="D5"/>
  <c r="C5"/>
  <c r="AG5" i="15"/>
  <c r="AF5"/>
  <c r="AE5"/>
  <c r="AD5"/>
  <c r="AC5"/>
  <c r="AB5"/>
  <c r="AA5"/>
  <c r="Z5"/>
  <c r="Y5"/>
  <c r="X5"/>
  <c r="W5"/>
  <c r="V5"/>
  <c r="U5"/>
  <c r="T5"/>
  <c r="S5"/>
  <c r="R5"/>
  <c r="Q5"/>
  <c r="P5"/>
  <c r="O5"/>
  <c r="N5"/>
  <c r="M5"/>
  <c r="L5"/>
  <c r="K5"/>
  <c r="J5"/>
  <c r="I5"/>
  <c r="H5"/>
  <c r="G5"/>
  <c r="F5"/>
  <c r="E5"/>
  <c r="D5"/>
  <c r="C5"/>
  <c r="AG5" i="4"/>
  <c r="AF5"/>
  <c r="AE5"/>
  <c r="AD5"/>
  <c r="AC5"/>
  <c r="AB5"/>
  <c r="AA5"/>
  <c r="Z5"/>
  <c r="Y5"/>
  <c r="X5"/>
  <c r="W5"/>
  <c r="V5"/>
  <c r="U5"/>
  <c r="T5"/>
  <c r="S5"/>
  <c r="R5"/>
  <c r="Q5"/>
  <c r="P5"/>
  <c r="O5"/>
  <c r="N5"/>
  <c r="M5"/>
  <c r="L5"/>
  <c r="K5"/>
  <c r="J5"/>
  <c r="I5"/>
  <c r="H5"/>
  <c r="G5"/>
  <c r="F5"/>
  <c r="E5"/>
  <c r="D5"/>
  <c r="C5"/>
  <c r="AD13" i="15" l="1"/>
  <c r="AE13"/>
  <c r="AF13"/>
  <c r="AG13"/>
  <c r="AE13" i="25"/>
  <c r="AF13"/>
  <c r="AG13"/>
  <c r="AE13" i="24"/>
  <c r="AF13"/>
  <c r="AG13"/>
  <c r="AE13" i="23"/>
  <c r="AF13"/>
  <c r="AG13"/>
  <c r="AF13" i="22"/>
  <c r="AG13"/>
  <c r="AF14" i="21"/>
  <c r="AG14"/>
  <c r="AF13" i="20"/>
  <c r="AG13"/>
  <c r="AF13" i="19"/>
  <c r="AG13"/>
  <c r="AG13" i="18"/>
  <c r="AF13"/>
  <c r="AF13" i="17"/>
  <c r="AG13"/>
  <c r="B13" i="23" l="1"/>
  <c r="AD13" i="25"/>
  <c r="AC13"/>
  <c r="AB13"/>
  <c r="AA13"/>
  <c r="Z13"/>
  <c r="Y13"/>
  <c r="X13"/>
  <c r="W13"/>
  <c r="V13"/>
  <c r="U13"/>
  <c r="T13"/>
  <c r="S13"/>
  <c r="R13"/>
  <c r="Q13"/>
  <c r="P13"/>
  <c r="O13"/>
  <c r="N13"/>
  <c r="M13"/>
  <c r="L13"/>
  <c r="K13"/>
  <c r="J13"/>
  <c r="I13"/>
  <c r="H13"/>
  <c r="G13"/>
  <c r="F13"/>
  <c r="E13"/>
  <c r="D13"/>
  <c r="C13"/>
  <c r="B13"/>
  <c r="AH4"/>
  <c r="B1"/>
  <c r="AD13" i="24"/>
  <c r="AC13"/>
  <c r="AB13"/>
  <c r="AA13"/>
  <c r="Z13"/>
  <c r="Y13"/>
  <c r="X13"/>
  <c r="W13"/>
  <c r="V13"/>
  <c r="U13"/>
  <c r="T13"/>
  <c r="S13"/>
  <c r="R13"/>
  <c r="Q13"/>
  <c r="P13"/>
  <c r="O13"/>
  <c r="N13"/>
  <c r="M13"/>
  <c r="L13"/>
  <c r="K13"/>
  <c r="J13"/>
  <c r="I13"/>
  <c r="H13"/>
  <c r="G13"/>
  <c r="F13"/>
  <c r="E13"/>
  <c r="D13"/>
  <c r="C13"/>
  <c r="B13"/>
  <c r="AH4"/>
  <c r="B1"/>
  <c r="AD13" i="23"/>
  <c r="AC13"/>
  <c r="AB13"/>
  <c r="AA13"/>
  <c r="Z13"/>
  <c r="Y13"/>
  <c r="X13"/>
  <c r="W13"/>
  <c r="V13"/>
  <c r="U13"/>
  <c r="T13"/>
  <c r="S13"/>
  <c r="R13"/>
  <c r="Q13"/>
  <c r="P13"/>
  <c r="O13"/>
  <c r="N13"/>
  <c r="M13"/>
  <c r="L13"/>
  <c r="K13"/>
  <c r="J13"/>
  <c r="I13"/>
  <c r="H13"/>
  <c r="G13"/>
  <c r="F13"/>
  <c r="E13"/>
  <c r="D13"/>
  <c r="C13"/>
  <c r="B1"/>
  <c r="AE13" i="22"/>
  <c r="AD13"/>
  <c r="AC13"/>
  <c r="AB13"/>
  <c r="AA13"/>
  <c r="Z13"/>
  <c r="Y13"/>
  <c r="X13"/>
  <c r="W13"/>
  <c r="V13"/>
  <c r="U13"/>
  <c r="T13"/>
  <c r="S13"/>
  <c r="R13"/>
  <c r="Q13"/>
  <c r="P13"/>
  <c r="O13"/>
  <c r="N13"/>
  <c r="M13"/>
  <c r="L13"/>
  <c r="K13"/>
  <c r="J13"/>
  <c r="I13"/>
  <c r="H13"/>
  <c r="G13"/>
  <c r="F13"/>
  <c r="E13"/>
  <c r="D13"/>
  <c r="C13"/>
  <c r="B13"/>
  <c r="AH4"/>
  <c r="B1"/>
  <c r="AE14" i="21"/>
  <c r="AD14"/>
  <c r="AC14"/>
  <c r="AB14"/>
  <c r="AA14"/>
  <c r="Z14"/>
  <c r="Y14"/>
  <c r="X14"/>
  <c r="W14"/>
  <c r="V14"/>
  <c r="U14"/>
  <c r="T14"/>
  <c r="S14"/>
  <c r="R14"/>
  <c r="Q14"/>
  <c r="P14"/>
  <c r="O14"/>
  <c r="N14"/>
  <c r="M14"/>
  <c r="L14"/>
  <c r="K14"/>
  <c r="J14"/>
  <c r="I14"/>
  <c r="H14"/>
  <c r="G14"/>
  <c r="F14"/>
  <c r="E14"/>
  <c r="D14"/>
  <c r="C14"/>
  <c r="B14"/>
  <c r="AH4"/>
  <c r="B1"/>
  <c r="AE13" i="20"/>
  <c r="AD13"/>
  <c r="AC13"/>
  <c r="AB13"/>
  <c r="AA13"/>
  <c r="Z13"/>
  <c r="Y13"/>
  <c r="X13"/>
  <c r="W13"/>
  <c r="V13"/>
  <c r="U13"/>
  <c r="T13"/>
  <c r="S13"/>
  <c r="R13"/>
  <c r="Q13"/>
  <c r="P13"/>
  <c r="O13"/>
  <c r="N13"/>
  <c r="M13"/>
  <c r="L13"/>
  <c r="K13"/>
  <c r="J13"/>
  <c r="I13"/>
  <c r="H13"/>
  <c r="G13"/>
  <c r="F13"/>
  <c r="E13"/>
  <c r="D13"/>
  <c r="C13"/>
  <c r="B13"/>
  <c r="AH4"/>
  <c r="B1"/>
  <c r="AE13" i="19"/>
  <c r="AD13"/>
  <c r="AC13"/>
  <c r="AB13"/>
  <c r="AA13"/>
  <c r="Z13"/>
  <c r="Y13"/>
  <c r="X13"/>
  <c r="W13"/>
  <c r="V13"/>
  <c r="U13"/>
  <c r="T13"/>
  <c r="S13"/>
  <c r="R13"/>
  <c r="Q13"/>
  <c r="P13"/>
  <c r="O13"/>
  <c r="N13"/>
  <c r="M13"/>
  <c r="L13"/>
  <c r="K13"/>
  <c r="J13"/>
  <c r="I13"/>
  <c r="H13"/>
  <c r="G13"/>
  <c r="F13"/>
  <c r="E13"/>
  <c r="D13"/>
  <c r="C13"/>
  <c r="B13"/>
  <c r="AH4"/>
  <c r="B1"/>
  <c r="AE13" i="18"/>
  <c r="AD13"/>
  <c r="AC13"/>
  <c r="AB13"/>
  <c r="AA13"/>
  <c r="Z13"/>
  <c r="Y13"/>
  <c r="X13"/>
  <c r="W13"/>
  <c r="V13"/>
  <c r="U13"/>
  <c r="T13"/>
  <c r="S13"/>
  <c r="R13"/>
  <c r="Q13"/>
  <c r="P13"/>
  <c r="O13"/>
  <c r="N13"/>
  <c r="M13"/>
  <c r="L13"/>
  <c r="K13"/>
  <c r="J13"/>
  <c r="I13"/>
  <c r="H13"/>
  <c r="G13"/>
  <c r="F13"/>
  <c r="E13"/>
  <c r="D13"/>
  <c r="C13"/>
  <c r="B13"/>
  <c r="AH4"/>
  <c r="B1"/>
  <c r="AE13" i="17"/>
  <c r="AD13"/>
  <c r="AC13"/>
  <c r="AB13"/>
  <c r="AA13"/>
  <c r="Z13"/>
  <c r="Y13"/>
  <c r="X13"/>
  <c r="W13"/>
  <c r="V13"/>
  <c r="U13"/>
  <c r="T13"/>
  <c r="S13"/>
  <c r="R13"/>
  <c r="Q13"/>
  <c r="P13"/>
  <c r="O13"/>
  <c r="N13"/>
  <c r="M13"/>
  <c r="L13"/>
  <c r="K13"/>
  <c r="J13"/>
  <c r="I13"/>
  <c r="H13"/>
  <c r="G13"/>
  <c r="F13"/>
  <c r="E13"/>
  <c r="D13"/>
  <c r="C13"/>
  <c r="B13"/>
  <c r="AH4"/>
  <c r="B1"/>
  <c r="B1" i="15"/>
  <c r="AH4" l="1"/>
  <c r="C13" l="1"/>
  <c r="D13"/>
  <c r="E13"/>
  <c r="F13"/>
  <c r="G13"/>
  <c r="H13"/>
  <c r="I13"/>
  <c r="J13"/>
  <c r="K13"/>
  <c r="L13"/>
  <c r="M13"/>
  <c r="N13"/>
  <c r="O13"/>
  <c r="P13"/>
  <c r="Q13"/>
  <c r="R13"/>
  <c r="S13"/>
  <c r="T13"/>
  <c r="U13"/>
  <c r="V13"/>
  <c r="W13"/>
  <c r="X13"/>
  <c r="Y13"/>
  <c r="Z13"/>
  <c r="AA13"/>
  <c r="AB13"/>
  <c r="AC13"/>
  <c r="B13" l="1"/>
  <c r="AH13" i="24" l="1"/>
  <c r="AH13" i="19"/>
  <c r="AH13" i="15"/>
  <c r="AH13" i="25"/>
  <c r="AH13" i="18"/>
  <c r="AH13" i="23"/>
  <c r="AH13" i="5"/>
  <c r="AH13" i="17"/>
  <c r="AH13" i="22"/>
  <c r="AJ13" i="25" l="1"/>
  <c r="AJ13" i="23"/>
  <c r="AJ13" i="19"/>
  <c r="AJ13" i="5"/>
  <c r="AJ13" i="15"/>
  <c r="AJ13" i="24"/>
  <c r="AJ14" i="21"/>
  <c r="AJ13" i="17"/>
  <c r="AJ13" i="18"/>
  <c r="AJ13" i="22"/>
  <c r="AJ13" i="20"/>
  <c r="AK13"/>
  <c r="AK13" i="25"/>
  <c r="AK13" i="15"/>
  <c r="AK13" i="19"/>
  <c r="AK13" i="24"/>
  <c r="AK14" i="21"/>
  <c r="AK13" i="17"/>
  <c r="AK13" i="18"/>
  <c r="AK13" i="22"/>
  <c r="AK13" i="23"/>
  <c r="AK13" i="5"/>
  <c r="AI14" i="21"/>
  <c r="AI13" i="18"/>
  <c r="AI13" i="23"/>
  <c r="AI13" i="15"/>
  <c r="AI13" i="24"/>
  <c r="AI13" i="17"/>
  <c r="AI13" i="22"/>
  <c r="AI13" i="5"/>
  <c r="AI13" i="20"/>
  <c r="AI13" i="25"/>
  <c r="AI13" i="19"/>
  <c r="AH14" i="21"/>
  <c r="AH13" i="20"/>
</calcChain>
</file>

<file path=xl/sharedStrings.xml><?xml version="1.0" encoding="utf-8"?>
<sst xmlns="http://schemas.openxmlformats.org/spreadsheetml/2006/main" count="686" uniqueCount="93">
  <si>
    <t>Clé de motif d’absence</t>
  </si>
  <si>
    <t>Janvier</t>
  </si>
  <si>
    <t>Nom de l’employé</t>
  </si>
  <si>
    <t>Employé 1</t>
  </si>
  <si>
    <t>Employé 2</t>
  </si>
  <si>
    <t>Employé 3</t>
  </si>
  <si>
    <t>Employé 4</t>
  </si>
  <si>
    <t>Employé 5</t>
  </si>
  <si>
    <t>C</t>
  </si>
  <si>
    <t>Dates d’absence</t>
  </si>
  <si>
    <t>1</t>
  </si>
  <si>
    <t>Congé</t>
  </si>
  <si>
    <t>2</t>
  </si>
  <si>
    <t>3</t>
  </si>
  <si>
    <t>P</t>
  </si>
  <si>
    <t>4</t>
  </si>
  <si>
    <t>M</t>
  </si>
  <si>
    <t>5</t>
  </si>
  <si>
    <t>Personnel</t>
  </si>
  <si>
    <t>6</t>
  </si>
  <si>
    <t>7</t>
  </si>
  <si>
    <t>8</t>
  </si>
  <si>
    <t>9</t>
  </si>
  <si>
    <t>Maladie</t>
  </si>
  <si>
    <t>10</t>
  </si>
  <si>
    <t>11</t>
  </si>
  <si>
    <t>12</t>
  </si>
  <si>
    <t>Personnalisé 1</t>
  </si>
  <si>
    <t>13</t>
  </si>
  <si>
    <t>14</t>
  </si>
  <si>
    <t>15</t>
  </si>
  <si>
    <t>16</t>
  </si>
  <si>
    <t>Personnalisé 2</t>
  </si>
  <si>
    <t>17</t>
  </si>
  <si>
    <t>18</t>
  </si>
  <si>
    <t>19</t>
  </si>
  <si>
    <t>20</t>
  </si>
  <si>
    <t>21</t>
  </si>
  <si>
    <t>22</t>
  </si>
  <si>
    <t>23</t>
  </si>
  <si>
    <t>24</t>
  </si>
  <si>
    <t>25</t>
  </si>
  <si>
    <t>26</t>
  </si>
  <si>
    <t>27</t>
  </si>
  <si>
    <t>28</t>
  </si>
  <si>
    <t>29</t>
  </si>
  <si>
    <t>30</t>
  </si>
  <si>
    <t>31</t>
  </si>
  <si>
    <t>Entrez l’année :</t>
  </si>
  <si>
    <t>Février</t>
  </si>
  <si>
    <t xml:space="preserve"> </t>
  </si>
  <si>
    <t xml:space="preserve">  </t>
  </si>
  <si>
    <t>Mars</t>
  </si>
  <si>
    <t>Avril</t>
  </si>
  <si>
    <t>Mai</t>
  </si>
  <si>
    <t>Juin</t>
  </si>
  <si>
    <t>Juillet</t>
  </si>
  <si>
    <t>Août</t>
  </si>
  <si>
    <t>Septembre</t>
  </si>
  <si>
    <t>Octobre</t>
  </si>
  <si>
    <t>Novembre</t>
  </si>
  <si>
    <t>Décembre</t>
  </si>
  <si>
    <t>Noms des employés</t>
  </si>
  <si>
    <t>T</t>
  </si>
  <si>
    <t>Travaillé</t>
  </si>
  <si>
    <t>Congés</t>
  </si>
  <si>
    <t xml:space="preserve">Dates </t>
  </si>
  <si>
    <t>Calendrier  des employés</t>
  </si>
  <si>
    <t>Pierre-Yves</t>
  </si>
  <si>
    <t>Nakani</t>
  </si>
  <si>
    <t>Jérémy</t>
  </si>
  <si>
    <t>Employé 6</t>
  </si>
  <si>
    <t>Employé 7</t>
  </si>
  <si>
    <t>Employé 8</t>
  </si>
  <si>
    <t>Employé 9</t>
  </si>
  <si>
    <t>Employé 10</t>
  </si>
  <si>
    <t>Employé 11</t>
  </si>
  <si>
    <t>Employé 12</t>
  </si>
  <si>
    <t>Employé 13</t>
  </si>
  <si>
    <t>Employé 14</t>
  </si>
  <si>
    <t>Employé 15</t>
  </si>
  <si>
    <t>Employé 16</t>
  </si>
  <si>
    <t>Employé 17</t>
  </si>
  <si>
    <t>X</t>
  </si>
  <si>
    <t xml:space="preserve">Codes </t>
  </si>
  <si>
    <t>Valeurs</t>
  </si>
  <si>
    <t xml:space="preserve">C </t>
  </si>
  <si>
    <t>Total par catégorie</t>
  </si>
  <si>
    <t>Je pense devoir intégrer la fonction somme.si mais je bloque sur le calcul avec une valeur fixe de 1 en fonction de la valeur en AH AI AJ AK. vous avez un exemple sur janvier du résultat escompté.</t>
  </si>
  <si>
    <t>t</t>
  </si>
  <si>
    <t>c</t>
  </si>
  <si>
    <t>m</t>
  </si>
  <si>
    <t>p</t>
  </si>
</sst>
</file>

<file path=xl/styles.xml><?xml version="1.0" encoding="utf-8"?>
<styleSheet xmlns="http://schemas.openxmlformats.org/spreadsheetml/2006/main">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20">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rgb="FF4A5359"/>
      <name val="Arial"/>
      <family val="2"/>
    </font>
  </fonts>
  <fills count="36">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0"/>
        <bgColor theme="4" tint="0.79992065187536243"/>
      </patternFill>
    </fill>
    <fill>
      <patternFill patternType="solid">
        <fgColor theme="0"/>
        <bgColor indexed="64"/>
      </patternFill>
    </fill>
    <fill>
      <patternFill patternType="solid">
        <fgColor theme="2" tint="-9.9978637043366805E-2"/>
        <bgColor indexed="64"/>
      </patternFill>
    </fill>
  </fills>
  <borders count="20">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theme="0"/>
      </left>
      <right style="thin">
        <color theme="0"/>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top style="thin">
        <color theme="0" tint="-0.14996795556505021"/>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66">
    <xf numFmtId="0" fontId="0" fillId="0" borderId="0" xfId="0">
      <alignment horizontal="left" vertical="center"/>
    </xf>
    <xf numFmtId="0" fontId="1" fillId="0" borderId="0" xfId="26">
      <alignment horizontal="left" vertical="center" wrapText="1" indent="2"/>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6" fontId="2" fillId="9" borderId="0" xfId="8" applyNumberFormat="1" applyFont="1" applyAlignment="1" applyProtection="1">
      <alignment horizontal="center" vertical="center"/>
    </xf>
    <xf numFmtId="166" fontId="2" fillId="14" borderId="0" xfId="24" applyNumberFormat="1" applyFont="1" applyAlignment="1" applyProtection="1">
      <alignment horizontal="center" vertical="center"/>
    </xf>
    <xf numFmtId="1" fontId="1" fillId="0" borderId="0" xfId="25" applyFill="1" applyBorder="1" applyProtection="1">
      <alignment horizontal="center" vertical="center"/>
    </xf>
    <xf numFmtId="0" fontId="0" fillId="0" borderId="0" xfId="0" applyProtection="1">
      <alignment horizontal="left" vertical="center"/>
    </xf>
    <xf numFmtId="0" fontId="5" fillId="2" borderId="0" xfId="3" applyProtection="1">
      <alignment horizontal="center" vertical="center"/>
    </xf>
    <xf numFmtId="166" fontId="0" fillId="0" borderId="0" xfId="0" applyNumberFormat="1" applyFont="1" applyFill="1" applyBorder="1" applyAlignment="1" applyProtection="1">
      <alignment horizontal="center" vertical="center"/>
    </xf>
    <xf numFmtId="0" fontId="6" fillId="0" borderId="0" xfId="1" applyAlignment="1" applyProtection="1">
      <alignment vertical="top"/>
    </xf>
    <xf numFmtId="0" fontId="1" fillId="2" borderId="0" xfId="21" applyBorder="1" applyAlignment="1" applyProtection="1">
      <alignment horizontal="left" vertical="center" indent="1"/>
    </xf>
    <xf numFmtId="0" fontId="1" fillId="0" borderId="0" xfId="26" applyFill="1" applyBorder="1" applyProtection="1">
      <alignment horizontal="left" vertical="center" wrapText="1" indent="2"/>
    </xf>
    <xf numFmtId="0" fontId="0" fillId="0" borderId="0" xfId="0" applyAlignment="1" applyProtection="1">
      <alignment horizontal="left" vertical="center" wrapText="1"/>
    </xf>
    <xf numFmtId="0" fontId="2" fillId="20" borderId="0" xfId="4" applyProtection="1">
      <alignment horizontal="right" vertical="center" indent="1"/>
    </xf>
    <xf numFmtId="0" fontId="0" fillId="0" borderId="0" xfId="0" applyFont="1" applyFill="1" applyBorder="1" applyAlignment="1" applyProtection="1">
      <alignment horizontal="left" vertical="center" indent="1"/>
    </xf>
    <xf numFmtId="0" fontId="6" fillId="0" borderId="0" xfId="1">
      <alignment vertical="top"/>
    </xf>
    <xf numFmtId="0" fontId="8" fillId="0" borderId="0" xfId="0" applyFont="1" applyFill="1" applyBorder="1" applyAlignment="1" applyProtection="1">
      <alignment horizontal="center" vertical="center"/>
    </xf>
    <xf numFmtId="0" fontId="5" fillId="2" borderId="0" xfId="3" applyProtection="1">
      <alignment horizontal="center" vertical="center"/>
    </xf>
    <xf numFmtId="0" fontId="1" fillId="0" borderId="0" xfId="26" applyFill="1" applyProtection="1">
      <alignment horizontal="left" vertical="center" wrapText="1" indent="2"/>
    </xf>
    <xf numFmtId="0" fontId="1" fillId="0" borderId="0" xfId="26" applyNumberFormat="1" applyFill="1" applyProtection="1">
      <alignment horizontal="left" vertical="center" wrapText="1" indent="2"/>
    </xf>
    <xf numFmtId="0" fontId="0" fillId="0" borderId="0" xfId="0" applyAlignment="1">
      <alignment horizontal="center" vertical="center"/>
    </xf>
    <xf numFmtId="0" fontId="0" fillId="0" borderId="0" xfId="26" applyFont="1">
      <alignment horizontal="left" vertical="center" wrapText="1" indent="2"/>
    </xf>
    <xf numFmtId="0" fontId="16" fillId="15" borderId="6" xfId="12" applyFont="1" applyFill="1" applyBorder="1" applyAlignment="1">
      <alignment horizontal="center" vertical="center"/>
    </xf>
    <xf numFmtId="166" fontId="16" fillId="9" borderId="6" xfId="8" applyNumberFormat="1" applyFont="1" applyFill="1" applyBorder="1" applyAlignment="1">
      <alignment horizontal="center" vertical="center"/>
    </xf>
    <xf numFmtId="0" fontId="16" fillId="13" borderId="6" xfId="23" applyFont="1" applyFill="1" applyBorder="1" applyAlignment="1">
      <alignment horizontal="center" vertical="center"/>
    </xf>
    <xf numFmtId="0" fontId="1" fillId="2" borderId="0" xfId="21" applyAlignment="1" applyProtection="1">
      <alignment vertical="center"/>
    </xf>
    <xf numFmtId="0" fontId="0" fillId="0" borderId="7" xfId="0" applyFont="1" applyFill="1" applyBorder="1" applyAlignment="1" applyProtection="1">
      <alignment horizontal="center" vertical="center"/>
    </xf>
    <xf numFmtId="1" fontId="1" fillId="0" borderId="7" xfId="25" applyFill="1" applyBorder="1" applyProtection="1">
      <alignment horizontal="center" vertical="center"/>
    </xf>
    <xf numFmtId="0" fontId="1" fillId="0" borderId="8" xfId="26" applyFill="1" applyBorder="1">
      <alignment horizontal="left" vertical="center" wrapText="1" indent="2"/>
    </xf>
    <xf numFmtId="0" fontId="0" fillId="0" borderId="9" xfId="0" applyFont="1" applyFill="1" applyBorder="1" applyAlignment="1" applyProtection="1">
      <alignment horizontal="center" vertical="center"/>
    </xf>
    <xf numFmtId="0" fontId="1" fillId="0" borderId="10" xfId="26" applyFill="1" applyBorder="1">
      <alignment horizontal="left" vertical="center" wrapText="1" indent="2"/>
    </xf>
    <xf numFmtId="1" fontId="1" fillId="0" borderId="11" xfId="25" applyFill="1" applyBorder="1" applyProtection="1">
      <alignment horizontal="center" vertical="center"/>
    </xf>
    <xf numFmtId="1" fontId="0" fillId="0" borderId="9" xfId="25" applyFont="1" applyFill="1" applyBorder="1" applyProtection="1">
      <alignment horizontal="center" vertical="center"/>
    </xf>
    <xf numFmtId="0" fontId="0" fillId="2" borderId="12" xfId="21" applyFont="1" applyFill="1" applyBorder="1" applyAlignment="1">
      <alignment horizontal="left" vertical="center" indent="1"/>
    </xf>
    <xf numFmtId="0" fontId="2" fillId="10" borderId="0" xfId="19" applyFont="1" applyFill="1" applyBorder="1" applyAlignment="1">
      <alignment horizontal="center" vertical="center"/>
    </xf>
    <xf numFmtId="0" fontId="0" fillId="0" borderId="7" xfId="26" applyFont="1" applyFill="1" applyBorder="1" applyAlignment="1">
      <alignment horizontal="left" vertical="center" wrapText="1" indent="2"/>
    </xf>
    <xf numFmtId="1" fontId="0" fillId="33" borderId="7" xfId="25" applyNumberFormat="1" applyFont="1" applyFill="1" applyBorder="1" applyAlignment="1">
      <alignment horizontal="center" vertical="center"/>
    </xf>
    <xf numFmtId="1" fontId="0" fillId="34" borderId="7" xfId="25" applyNumberFormat="1" applyFont="1" applyFill="1" applyBorder="1" applyAlignment="1">
      <alignment horizontal="center" vertical="center"/>
    </xf>
    <xf numFmtId="0" fontId="1" fillId="0" borderId="13" xfId="26" applyFill="1" applyBorder="1">
      <alignment horizontal="left" vertical="center" wrapText="1" indent="2"/>
    </xf>
    <xf numFmtId="1" fontId="1" fillId="0" borderId="14" xfId="25" applyFill="1" applyBorder="1" applyProtection="1">
      <alignment horizontal="center" vertical="center"/>
    </xf>
    <xf numFmtId="1" fontId="1" fillId="0" borderId="15" xfId="25" applyFill="1" applyBorder="1" applyProtection="1">
      <alignment horizontal="center" vertical="center"/>
    </xf>
    <xf numFmtId="0" fontId="0" fillId="0" borderId="14" xfId="0" applyFont="1" applyFill="1" applyBorder="1" applyAlignment="1" applyProtection="1">
      <alignment horizontal="center" vertical="center"/>
    </xf>
    <xf numFmtId="0" fontId="0" fillId="0" borderId="0" xfId="0" applyBorder="1" applyProtection="1">
      <alignment horizontal="left" vertical="center"/>
    </xf>
    <xf numFmtId="0" fontId="1" fillId="0" borderId="0" xfId="26" applyFill="1" applyBorder="1">
      <alignment horizontal="left" vertical="center" wrapText="1" indent="2"/>
    </xf>
    <xf numFmtId="1" fontId="0" fillId="0" borderId="0" xfId="0" applyNumberFormat="1" applyBorder="1" applyProtection="1">
      <alignment horizontal="left" vertical="center"/>
    </xf>
    <xf numFmtId="0" fontId="0" fillId="0" borderId="0" xfId="0" applyBorder="1">
      <alignment horizontal="left" vertical="center"/>
    </xf>
    <xf numFmtId="1" fontId="2" fillId="35" borderId="17" xfId="0" applyNumberFormat="1" applyFont="1" applyFill="1" applyBorder="1" applyAlignment="1" applyProtection="1">
      <alignment horizontal="center" vertical="center"/>
    </xf>
    <xf numFmtId="1" fontId="2" fillId="35" borderId="18" xfId="0" applyNumberFormat="1" applyFont="1" applyFill="1" applyBorder="1" applyAlignment="1" applyProtection="1">
      <alignment horizontal="center" vertical="center"/>
    </xf>
    <xf numFmtId="1" fontId="2" fillId="35" borderId="19" xfId="0" applyNumberFormat="1" applyFont="1" applyFill="1" applyBorder="1" applyAlignment="1" applyProtection="1">
      <alignment horizontal="center" vertical="center"/>
    </xf>
    <xf numFmtId="0" fontId="0" fillId="35" borderId="16" xfId="0" applyFill="1" applyBorder="1" applyAlignment="1" applyProtection="1">
      <alignment horizontal="center" vertical="center"/>
    </xf>
    <xf numFmtId="0" fontId="0" fillId="35" borderId="17" xfId="0" applyFill="1" applyBorder="1" applyAlignment="1" applyProtection="1">
      <alignment horizontal="center" vertical="center"/>
    </xf>
    <xf numFmtId="0" fontId="0" fillId="35" borderId="18" xfId="0" applyFill="1" applyBorder="1" applyAlignment="1" applyProtection="1">
      <alignment horizontal="center" vertical="center"/>
    </xf>
    <xf numFmtId="0" fontId="7" fillId="0" borderId="0" xfId="27" applyAlignment="1" applyProtection="1">
      <alignment horizontal="center"/>
    </xf>
    <xf numFmtId="0" fontId="5" fillId="2" borderId="0" xfId="3" applyAlignment="1" applyProtection="1">
      <alignment horizontal="center" vertical="center"/>
    </xf>
    <xf numFmtId="0" fontId="5" fillId="2" borderId="0" xfId="3" applyProtection="1">
      <alignment horizontal="center" vertical="center"/>
    </xf>
    <xf numFmtId="0" fontId="0" fillId="2" borderId="0" xfId="21" applyFont="1" applyAlignment="1" applyProtection="1">
      <alignment horizontal="left" vertical="center"/>
    </xf>
    <xf numFmtId="0" fontId="1" fillId="2" borderId="0" xfId="21" applyAlignment="1" applyProtection="1">
      <alignment horizontal="left" vertical="center"/>
    </xf>
    <xf numFmtId="0" fontId="0" fillId="2" borderId="0" xfId="21" applyFont="1" applyAlignment="1" applyProtection="1">
      <alignment horizontal="center" vertical="center"/>
    </xf>
    <xf numFmtId="0" fontId="1" fillId="2" borderId="0" xfId="21" applyAlignment="1" applyProtection="1">
      <alignment horizontal="center" vertical="center"/>
    </xf>
    <xf numFmtId="0" fontId="0" fillId="0" borderId="0" xfId="0" applyAlignment="1">
      <alignment horizontal="center" vertical="center"/>
    </xf>
    <xf numFmtId="0" fontId="19" fillId="0" borderId="0" xfId="0" applyFont="1">
      <alignment horizontal="left" vertical="center"/>
    </xf>
    <xf numFmtId="0" fontId="0" fillId="0" borderId="9" xfId="0" applyFill="1" applyBorder="1" applyAlignment="1" applyProtection="1">
      <alignment horizontal="center"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Commentaire" xfId="42" builtinId="10" customBuiltin="1"/>
    <cellStyle name="Employé" xfId="26"/>
    <cellStyle name="Entrée" xfId="36" builtinId="20" customBuiltin="1"/>
    <cellStyle name="Étiquette" xfId="27"/>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76">
    <dxf>
      <numFmt numFmtId="1" formatCode="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alignment horizontal="left" vertical="center" textRotation="0" wrapText="1" indent="2" relativeIndent="255" justifyLastLine="0" shrinkToFit="0" readingOrder="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relativeIndent="255"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relativeIndent="255"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relativeIndent="255"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relativeIndent="255"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relativeIndent="255"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relativeIndent="255"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relativeIndent="255"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relativeIndent="255"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relativeIndent="255"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relativeIndent="255"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medium">
          <color indexed="64"/>
        </right>
        <top style="thin">
          <color indexed="64"/>
        </top>
        <bottom style="medium">
          <color indexed="64"/>
        </bottom>
      </border>
      <protection locked="1" hidden="0"/>
    </dxf>
    <dxf>
      <fill>
        <patternFill patternType="none">
          <fgColor indexed="64"/>
          <bgColor indexed="65"/>
        </patternFill>
      </fill>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fill>
        <patternFill patternType="none">
          <fgColor indexed="64"/>
          <bgColor indexed="65"/>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fill>
        <patternFill patternType="none">
          <fgColor indexed="64"/>
          <bgColor indexed="65"/>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relativeIndent="255" justifyLastLine="0" shrinkToFit="0" readingOrder="0"/>
      <border diagonalUp="0" diagonalDown="0" outline="0">
        <left style="medium">
          <color indexed="64"/>
        </left>
        <right style="thin">
          <color indexed="64"/>
        </right>
        <top style="thin">
          <color indexed="64"/>
        </top>
        <bottom style="medium">
          <color indexed="64"/>
        </bottom>
      </border>
      <protection locked="1" hidden="0"/>
    </dxf>
    <dxf>
      <fill>
        <patternFill patternType="none">
          <fgColor indexed="64"/>
          <bgColor indexed="65"/>
        </patternFill>
      </fill>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tableStyleElement type="wholeTable" dxfId="975"/>
      <tableStyleElement type="headerRow" dxfId="974"/>
      <tableStyleElement type="totalRow" dxfId="973"/>
      <tableStyleElement type="firstColumn" dxfId="972"/>
      <tableStyleElement type="lastColumn" dxfId="971"/>
      <tableStyleElement type="firstRowStripe" dxfId="970"/>
      <tableStyleElement type="secondRowStripe" dxfId="969"/>
      <tableStyleElement type="firstColumnStripe" dxfId="968"/>
      <tableStyleElement type="secondColumnStripe" dxfId="967"/>
      <tableStyleElement type="firstHeaderCell" dxfId="966"/>
      <tableStyleElement type="lastHeaderCell" dxfId="965"/>
      <tableStyleElement type="firstTotalCell" dxfId="964"/>
      <tableStyleElement type="lastTotalCell" dxfId="963"/>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xdr:row>
      <xdr:rowOff>0</xdr:rowOff>
    </xdr:from>
    <xdr:to>
      <xdr:col>2</xdr:col>
      <xdr:colOff>2004</xdr:colOff>
      <xdr:row>4</xdr:row>
      <xdr:rowOff>160020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0" y="422910"/>
          <a:ext cx="2543274" cy="708660"/>
        </a:xfrm>
        <a:prstGeom prst="rect">
          <a:avLst/>
        </a:prstGeom>
      </xdr:spPr>
    </xdr:pic>
    <xdr:clientData/>
  </xdr:twoCellAnchor>
</xdr:wsDr>
</file>

<file path=xl/tables/table1.xml><?xml version="1.0" encoding="utf-8"?>
<table xmlns="http://schemas.openxmlformats.org/spreadsheetml/2006/main" id="3" name="Janvier" displayName="Janvier" ref="B6:AK11" totalsRowShown="0" headerRowDxfId="957" dataDxfId="956" totalsRowDxfId="955">
  <autoFilter ref="B6:AK11">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6">
    <tableColumn id="1" name="Nom de l’employé" dataDxfId="954" totalsRowDxfId="953" dataCellStyle="Employé"/>
    <tableColumn id="2" name="1" dataDxfId="952" totalsRowDxfId="951"/>
    <tableColumn id="3" name="2" dataDxfId="950" totalsRowDxfId="949"/>
    <tableColumn id="4" name="3" dataDxfId="948" totalsRowDxfId="947"/>
    <tableColumn id="5" name="4" dataDxfId="946" totalsRowDxfId="945"/>
    <tableColumn id="6" name="5" dataDxfId="944" totalsRowDxfId="943"/>
    <tableColumn id="7" name="6" dataDxfId="942" totalsRowDxfId="941"/>
    <tableColumn id="8" name="7" dataDxfId="940" totalsRowDxfId="939"/>
    <tableColumn id="9" name="8" dataDxfId="938" totalsRowDxfId="937"/>
    <tableColumn id="10" name="9" dataDxfId="936" totalsRowDxfId="935"/>
    <tableColumn id="11" name="10" dataDxfId="934" totalsRowDxfId="933"/>
    <tableColumn id="12" name="11" dataDxfId="932" totalsRowDxfId="931"/>
    <tableColumn id="13" name="12" dataDxfId="930" totalsRowDxfId="929"/>
    <tableColumn id="14" name="13" dataDxfId="928" totalsRowDxfId="927"/>
    <tableColumn id="15" name="14" dataDxfId="926" totalsRowDxfId="925"/>
    <tableColumn id="16" name="15" dataDxfId="924" totalsRowDxfId="923"/>
    <tableColumn id="17" name="16" dataDxfId="922" totalsRowDxfId="921"/>
    <tableColumn id="18" name="17" dataDxfId="920" totalsRowDxfId="919"/>
    <tableColumn id="19" name="18" dataDxfId="918" totalsRowDxfId="917"/>
    <tableColumn id="20" name="19" dataDxfId="916" totalsRowDxfId="915"/>
    <tableColumn id="21" name="20" dataDxfId="914" totalsRowDxfId="913"/>
    <tableColumn id="22" name="21" dataDxfId="912" totalsRowDxfId="911"/>
    <tableColumn id="23" name="22" dataDxfId="910" totalsRowDxfId="909"/>
    <tableColumn id="24" name="23" dataDxfId="908" totalsRowDxfId="907"/>
    <tableColumn id="25" name="24" dataDxfId="906" totalsRowDxfId="905"/>
    <tableColumn id="26" name="25" dataDxfId="904" totalsRowDxfId="903"/>
    <tableColumn id="27" name="26" dataDxfId="902" totalsRowDxfId="901"/>
    <tableColumn id="28" name="27" dataDxfId="900" totalsRowDxfId="899"/>
    <tableColumn id="29" name="28" dataDxfId="898" totalsRowDxfId="897"/>
    <tableColumn id="30" name="29" dataDxfId="896" totalsRowDxfId="895"/>
    <tableColumn id="31" name="30" dataDxfId="894" totalsRowDxfId="893"/>
    <tableColumn id="32" name="31" dataDxfId="892" totalsRowDxfId="891"/>
    <tableColumn id="33" name="Travaillé" dataDxfId="0" totalsRowDxfId="890">
      <calculatedColumnFormula>SUMPRODUCT(--(Janvier[[#This Row],[1]:[31]]=LEFT(Janvier[[#Headers],[Travaillé]],1)))</calculatedColumnFormula>
    </tableColumn>
    <tableColumn id="34" name="Congés" dataDxfId="889" totalsRowDxfId="888" dataCellStyle="Total"/>
    <tableColumn id="35" name="Maladie" dataDxfId="887" totalsRowDxfId="886" dataCellStyle="Total"/>
    <tableColumn id="36" name="Personnel" dataDxfId="885" totalsRowDxfId="884" dataCellStyle="Total"/>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2" name="Février" displayName="Février" ref="B6:AK13" totalsRowCount="1" headerRowDxfId="876" dataDxfId="875" totalsRowDxfId="874">
  <tableColumns count="36">
    <tableColumn id="1" name="Nom de l’employé" totalsRowFunction="custom" dataDxfId="873" totalsRowDxfId="872" dataCellStyle="Employé">
      <totalsRowFormula>NomMois&amp;" Total"</totalsRowFormula>
    </tableColumn>
    <tableColumn id="2" name="1" totalsRowFunction="count" dataDxfId="871" totalsRowDxfId="870"/>
    <tableColumn id="3" name="2" totalsRowFunction="count" dataDxfId="869" totalsRowDxfId="868"/>
    <tableColumn id="4" name="3" totalsRowFunction="count" dataDxfId="867" totalsRowDxfId="866"/>
    <tableColumn id="5" name="4" totalsRowFunction="count" dataDxfId="865" totalsRowDxfId="864"/>
    <tableColumn id="6" name="5" totalsRowFunction="count" dataDxfId="863" totalsRowDxfId="862"/>
    <tableColumn id="7" name="6" totalsRowFunction="count" dataDxfId="861" totalsRowDxfId="860"/>
    <tableColumn id="8" name="7" totalsRowFunction="count" dataDxfId="859" totalsRowDxfId="858"/>
    <tableColumn id="9" name="8" totalsRowFunction="count" dataDxfId="857" totalsRowDxfId="856"/>
    <tableColumn id="10" name="9" totalsRowFunction="count" dataDxfId="855" totalsRowDxfId="854"/>
    <tableColumn id="11" name="10" totalsRowFunction="count" dataDxfId="853" totalsRowDxfId="852"/>
    <tableColumn id="12" name="11" totalsRowFunction="count" dataDxfId="851" totalsRowDxfId="850"/>
    <tableColumn id="13" name="12" totalsRowFunction="count" dataDxfId="849" totalsRowDxfId="848"/>
    <tableColumn id="14" name="13" totalsRowFunction="count" dataDxfId="847" totalsRowDxfId="846"/>
    <tableColumn id="15" name="14" totalsRowFunction="count" dataDxfId="845" totalsRowDxfId="844"/>
    <tableColumn id="16" name="15" totalsRowFunction="count" dataDxfId="843" totalsRowDxfId="842"/>
    <tableColumn id="17" name="16" totalsRowFunction="count" dataDxfId="841" totalsRowDxfId="840"/>
    <tableColumn id="18" name="17" totalsRowFunction="count" dataDxfId="839" totalsRowDxfId="838"/>
    <tableColumn id="19" name="18" totalsRowFunction="count" dataDxfId="837" totalsRowDxfId="836"/>
    <tableColumn id="20" name="19" totalsRowFunction="count" dataDxfId="835" totalsRowDxfId="834"/>
    <tableColumn id="21" name="20" totalsRowFunction="count" dataDxfId="833" totalsRowDxfId="832"/>
    <tableColumn id="22" name="21" totalsRowFunction="count" dataDxfId="831" totalsRowDxfId="830"/>
    <tableColumn id="23" name="22" totalsRowFunction="count" dataDxfId="829" totalsRowDxfId="828"/>
    <tableColumn id="24" name="23" totalsRowFunction="count" dataDxfId="827" totalsRowDxfId="826"/>
    <tableColumn id="25" name="24" totalsRowFunction="count" dataDxfId="825" totalsRowDxfId="824"/>
    <tableColumn id="26" name="25" totalsRowFunction="count" dataDxfId="823" totalsRowDxfId="822"/>
    <tableColumn id="27" name="26" totalsRowFunction="count" dataDxfId="821" totalsRowDxfId="820"/>
    <tableColumn id="28" name="27" totalsRowFunction="count" dataDxfId="819" totalsRowDxfId="818"/>
    <tableColumn id="29" name="28" totalsRowFunction="count" dataDxfId="817" totalsRowDxfId="816"/>
    <tableColumn id="30" name="29" totalsRowFunction="count" dataDxfId="815" totalsRowDxfId="814"/>
    <tableColumn id="31" name=" " dataDxfId="813" totalsRowDxfId="812"/>
    <tableColumn id="32" name="  " dataDxfId="811" totalsRowDxfId="810"/>
    <tableColumn id="33" name="Travaillé" totalsRowFunction="sum" dataDxfId="809" totalsRowDxfId="808" dataCellStyle="Total"/>
    <tableColumn id="34" name="Congés" totalsRowFunction="custom" dataDxfId="807" totalsRowDxfId="806" dataCellStyle="Total">
      <totalsRowFormula>SUBTOTAL(109,Juillet[Congés])</totalsRowFormula>
    </tableColumn>
    <tableColumn id="35" name="Maladie" totalsRowFunction="custom" dataDxfId="805" totalsRowDxfId="804" dataCellStyle="Total">
      <totalsRowFormula>SUBTOTAL(109,Juillet[Maladie])</totalsRowFormula>
    </tableColumn>
    <tableColumn id="36" name="Personnel" totalsRowFunction="custom" dataDxfId="803" totalsRowDxfId="802"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4" name="Mars" displayName="Mars" ref="B6:AK13" totalsRowCount="1" headerRowDxfId="796" dataDxfId="795" totalsRowDxfId="794">
  <tableColumns count="36">
    <tableColumn id="1" name="Nom de l’employé" totalsRowFunction="custom" dataDxfId="793" totalsRowDxfId="792" dataCellStyle="Employé">
      <totalsRowFormula>NomMois&amp;" Total"</totalsRowFormula>
    </tableColumn>
    <tableColumn id="2" name="1" totalsRowFunction="count" dataDxfId="791" totalsRowDxfId="790"/>
    <tableColumn id="3" name="2" totalsRowFunction="count" dataDxfId="789" totalsRowDxfId="788"/>
    <tableColumn id="4" name="3" totalsRowFunction="count" dataDxfId="787" totalsRowDxfId="786"/>
    <tableColumn id="5" name="4" totalsRowFunction="count" dataDxfId="785" totalsRowDxfId="784"/>
    <tableColumn id="6" name="5" totalsRowFunction="count" dataDxfId="783" totalsRowDxfId="782"/>
    <tableColumn id="7" name="6" totalsRowFunction="count" dataDxfId="781" totalsRowDxfId="780"/>
    <tableColumn id="8" name="7" totalsRowFunction="count" dataDxfId="779" totalsRowDxfId="778"/>
    <tableColumn id="9" name="8" totalsRowFunction="count" dataDxfId="777" totalsRowDxfId="776"/>
    <tableColumn id="10" name="9" totalsRowFunction="count" dataDxfId="775" totalsRowDxfId="774"/>
    <tableColumn id="11" name="10" totalsRowFunction="count" dataDxfId="773" totalsRowDxfId="772"/>
    <tableColumn id="12" name="11" totalsRowFunction="count" dataDxfId="771" totalsRowDxfId="770"/>
    <tableColumn id="13" name="12" totalsRowFunction="count" dataDxfId="769" totalsRowDxfId="768"/>
    <tableColumn id="14" name="13" totalsRowFunction="count" dataDxfId="767" totalsRowDxfId="766"/>
    <tableColumn id="15" name="14" totalsRowFunction="count" dataDxfId="765" totalsRowDxfId="764"/>
    <tableColumn id="16" name="15" totalsRowFunction="count" dataDxfId="763" totalsRowDxfId="762"/>
    <tableColumn id="17" name="16" totalsRowFunction="count" dataDxfId="761" totalsRowDxfId="760"/>
    <tableColumn id="18" name="17" totalsRowFunction="count" dataDxfId="759" totalsRowDxfId="758"/>
    <tableColumn id="19" name="18" totalsRowFunction="count" dataDxfId="757" totalsRowDxfId="756"/>
    <tableColumn id="20" name="19" totalsRowFunction="count" dataDxfId="755" totalsRowDxfId="754"/>
    <tableColumn id="21" name="20" totalsRowFunction="count" dataDxfId="753" totalsRowDxfId="752"/>
    <tableColumn id="22" name="21" totalsRowFunction="count" dataDxfId="751" totalsRowDxfId="750"/>
    <tableColumn id="23" name="22" totalsRowFunction="count" dataDxfId="749" totalsRowDxfId="748"/>
    <tableColumn id="24" name="23" totalsRowFunction="count" dataDxfId="747" totalsRowDxfId="746"/>
    <tableColumn id="25" name="24" totalsRowFunction="count" dataDxfId="745" totalsRowDxfId="744"/>
    <tableColumn id="26" name="25" totalsRowFunction="count" dataDxfId="743" totalsRowDxfId="742"/>
    <tableColumn id="27" name="26" totalsRowFunction="count" dataDxfId="741" totalsRowDxfId="740"/>
    <tableColumn id="28" name="27" totalsRowFunction="count" dataDxfId="739" totalsRowDxfId="738"/>
    <tableColumn id="29" name="28" totalsRowFunction="count" dataDxfId="737" totalsRowDxfId="736"/>
    <tableColumn id="30" name="29" totalsRowFunction="count" dataDxfId="735" totalsRowDxfId="734"/>
    <tableColumn id="31" name="30" totalsRowFunction="count" dataDxfId="733" totalsRowDxfId="732"/>
    <tableColumn id="32" name="31" totalsRowFunction="count" dataDxfId="731" totalsRowDxfId="730"/>
    <tableColumn id="33" name="Travaillé" totalsRowFunction="sum" dataDxfId="729" totalsRowDxfId="728" dataCellStyle="Total"/>
    <tableColumn id="34" name="Congés" totalsRowFunction="custom" dataDxfId="727" totalsRowDxfId="726" dataCellStyle="Total">
      <totalsRowFormula>SUBTOTAL(109,Juillet[Congés])</totalsRowFormula>
    </tableColumn>
    <tableColumn id="35" name="Maladie" totalsRowFunction="custom" dataDxfId="725" totalsRowDxfId="724" dataCellStyle="Total">
      <totalsRowFormula>SUBTOTAL(109,Juillet[Maladie])</totalsRowFormula>
    </tableColumn>
    <tableColumn id="36" name="Personnel" totalsRowFunction="custom" dataDxfId="723" totalsRowDxfId="722"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5" name="Avril" displayName="Avril" ref="B6:AK13" totalsRowCount="1" headerRowDxfId="716" dataDxfId="715" totalsRowDxfId="714">
  <tableColumns count="36">
    <tableColumn id="1" name="Nom de l’employé" totalsRowFunction="custom" dataDxfId="713" totalsRowDxfId="712" dataCellStyle="Employé">
      <totalsRowFormula>NomMois&amp;" Total"</totalsRowFormula>
    </tableColumn>
    <tableColumn id="2" name="1" totalsRowFunction="count" dataDxfId="711" totalsRowDxfId="710"/>
    <tableColumn id="3" name="2" totalsRowFunction="count" dataDxfId="709" totalsRowDxfId="708"/>
    <tableColumn id="4" name="3" totalsRowFunction="count" dataDxfId="707" totalsRowDxfId="706"/>
    <tableColumn id="5" name="4" totalsRowFunction="count" dataDxfId="705" totalsRowDxfId="704"/>
    <tableColumn id="6" name="5" totalsRowFunction="count" dataDxfId="703" totalsRowDxfId="702"/>
    <tableColumn id="7" name="6" totalsRowFunction="count" dataDxfId="701" totalsRowDxfId="700"/>
    <tableColumn id="8" name="7" totalsRowFunction="count" dataDxfId="699" totalsRowDxfId="698"/>
    <tableColumn id="9" name="8" totalsRowFunction="count" dataDxfId="697" totalsRowDxfId="696"/>
    <tableColumn id="10" name="9" totalsRowFunction="count" dataDxfId="695" totalsRowDxfId="694"/>
    <tableColumn id="11" name="10" totalsRowFunction="count" dataDxfId="693" totalsRowDxfId="692"/>
    <tableColumn id="12" name="11" totalsRowFunction="count" dataDxfId="691" totalsRowDxfId="690"/>
    <tableColumn id="13" name="12" totalsRowFunction="count" dataDxfId="689" totalsRowDxfId="688"/>
    <tableColumn id="14" name="13" totalsRowFunction="count" dataDxfId="687" totalsRowDxfId="686"/>
    <tableColumn id="15" name="14" totalsRowFunction="count" dataDxfId="685" totalsRowDxfId="684"/>
    <tableColumn id="16" name="15" totalsRowFunction="count" dataDxfId="683" totalsRowDxfId="682"/>
    <tableColumn id="17" name="16" totalsRowFunction="count" dataDxfId="681" totalsRowDxfId="680"/>
    <tableColumn id="18" name="17" totalsRowFunction="count" dataDxfId="679" totalsRowDxfId="678"/>
    <tableColumn id="19" name="18" totalsRowFunction="count" dataDxfId="677" totalsRowDxfId="676"/>
    <tableColumn id="20" name="19" totalsRowFunction="count" dataDxfId="675" totalsRowDxfId="674"/>
    <tableColumn id="21" name="20" totalsRowFunction="count" dataDxfId="673" totalsRowDxfId="672"/>
    <tableColumn id="22" name="21" totalsRowFunction="count" dataDxfId="671" totalsRowDxfId="670"/>
    <tableColumn id="23" name="22" totalsRowFunction="count" dataDxfId="669" totalsRowDxfId="668"/>
    <tableColumn id="24" name="23" totalsRowFunction="count" dataDxfId="667" totalsRowDxfId="666"/>
    <tableColumn id="25" name="24" totalsRowFunction="count" dataDxfId="665" totalsRowDxfId="664"/>
    <tableColumn id="26" name="25" totalsRowFunction="count" dataDxfId="663" totalsRowDxfId="662"/>
    <tableColumn id="27" name="26" totalsRowFunction="count" dataDxfId="661" totalsRowDxfId="660"/>
    <tableColumn id="28" name="27" totalsRowFunction="count" dataDxfId="659" totalsRowDxfId="658"/>
    <tableColumn id="29" name="28" totalsRowFunction="count" dataDxfId="657" totalsRowDxfId="656"/>
    <tableColumn id="30" name="29" totalsRowFunction="count" dataDxfId="655" totalsRowDxfId="654"/>
    <tableColumn id="31" name="30" totalsRowFunction="count" dataDxfId="653" totalsRowDxfId="652"/>
    <tableColumn id="32" name=" " totalsRowFunction="custom" dataDxfId="651" totalsRowDxfId="650">
      <totalsRowFormula>SUBTOTAL(103,[30])</totalsRowFormula>
    </tableColumn>
    <tableColumn id="33" name="Travaillé" totalsRowFunction="sum" dataDxfId="649" totalsRowDxfId="648" dataCellStyle="Total"/>
    <tableColumn id="34" name="Congés" totalsRowFunction="custom" dataDxfId="647" totalsRowDxfId="646" dataCellStyle="Total">
      <totalsRowFormula>SUBTOTAL(109,Juillet[Congés])</totalsRowFormula>
    </tableColumn>
    <tableColumn id="35" name="Maladie" totalsRowFunction="custom" dataDxfId="645" totalsRowDxfId="644" dataCellStyle="Total">
      <totalsRowFormula>SUBTOTAL(109,Juillet[Maladie])</totalsRowFormula>
    </tableColumn>
    <tableColumn id="36" name="Personnel" totalsRowFunction="custom" dataDxfId="643" totalsRowDxfId="642"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6" name="Mai" displayName="Mai" ref="B6:AK13" totalsRowCount="1" headerRowDxfId="636" dataDxfId="635" totalsRowDxfId="634">
  <tableColumns count="36">
    <tableColumn id="1" name="Nom de l’employé" totalsRowFunction="custom" dataDxfId="633" totalsRowDxfId="632" dataCellStyle="Employé">
      <totalsRowFormula>NomMois&amp;" Total"</totalsRowFormula>
    </tableColumn>
    <tableColumn id="2" name="1" totalsRowFunction="count" dataDxfId="631" totalsRowDxfId="630"/>
    <tableColumn id="3" name="2" totalsRowFunction="count" dataDxfId="629" totalsRowDxfId="628"/>
    <tableColumn id="4" name="3" totalsRowFunction="count" dataDxfId="627" totalsRowDxfId="626"/>
    <tableColumn id="5" name="4" totalsRowFunction="count" dataDxfId="625" totalsRowDxfId="624"/>
    <tableColumn id="6" name="5" totalsRowFunction="count" dataDxfId="623" totalsRowDxfId="622"/>
    <tableColumn id="7" name="6" totalsRowFunction="count" dataDxfId="621" totalsRowDxfId="620"/>
    <tableColumn id="8" name="7" totalsRowFunction="count" dataDxfId="619" totalsRowDxfId="618"/>
    <tableColumn id="9" name="8" totalsRowFunction="count" dataDxfId="617" totalsRowDxfId="616"/>
    <tableColumn id="10" name="9" totalsRowFunction="count" dataDxfId="615" totalsRowDxfId="614"/>
    <tableColumn id="11" name="10" totalsRowFunction="count" dataDxfId="613" totalsRowDxfId="612"/>
    <tableColumn id="12" name="11" totalsRowFunction="count" dataDxfId="611" totalsRowDxfId="610"/>
    <tableColumn id="13" name="12" totalsRowFunction="count" dataDxfId="609" totalsRowDxfId="608"/>
    <tableColumn id="14" name="13" totalsRowFunction="count" dataDxfId="607" totalsRowDxfId="606"/>
    <tableColumn id="15" name="14" totalsRowFunction="count" dataDxfId="605" totalsRowDxfId="604"/>
    <tableColumn id="16" name="15" totalsRowFunction="count" dataDxfId="603" totalsRowDxfId="602"/>
    <tableColumn id="17" name="16" totalsRowFunction="count" dataDxfId="601" totalsRowDxfId="600"/>
    <tableColumn id="18" name="17" totalsRowFunction="count" dataDxfId="599" totalsRowDxfId="598"/>
    <tableColumn id="19" name="18" totalsRowFunction="count" dataDxfId="597" totalsRowDxfId="596"/>
    <tableColumn id="20" name="19" totalsRowFunction="count" dataDxfId="595" totalsRowDxfId="594"/>
    <tableColumn id="21" name="20" totalsRowFunction="count" dataDxfId="593" totalsRowDxfId="592"/>
    <tableColumn id="22" name="21" totalsRowFunction="count" dataDxfId="591" totalsRowDxfId="590"/>
    <tableColumn id="23" name="22" totalsRowFunction="count" dataDxfId="589" totalsRowDxfId="588"/>
    <tableColumn id="24" name="23" totalsRowFunction="count" dataDxfId="587" totalsRowDxfId="586"/>
    <tableColumn id="25" name="24" totalsRowFunction="count" dataDxfId="585" totalsRowDxfId="584"/>
    <tableColumn id="26" name="25" totalsRowFunction="count" dataDxfId="583" totalsRowDxfId="582"/>
    <tableColumn id="27" name="26" totalsRowFunction="count" dataDxfId="581" totalsRowDxfId="580"/>
    <tableColumn id="28" name="27" totalsRowFunction="count" dataDxfId="579" totalsRowDxfId="578"/>
    <tableColumn id="29" name="28" totalsRowFunction="count" dataDxfId="577" totalsRowDxfId="576"/>
    <tableColumn id="30" name="29" totalsRowFunction="count" dataDxfId="575" totalsRowDxfId="574"/>
    <tableColumn id="31" name="30" totalsRowFunction="count" dataDxfId="573" totalsRowDxfId="572"/>
    <tableColumn id="32" name="31" totalsRowFunction="count" dataDxfId="571" totalsRowDxfId="570"/>
    <tableColumn id="33" name="Travaillé" totalsRowFunction="sum" dataDxfId="569" totalsRowDxfId="568" dataCellStyle="Total"/>
    <tableColumn id="34" name="Congés" totalsRowFunction="custom" dataDxfId="567" totalsRowDxfId="566" dataCellStyle="Total">
      <totalsRowFormula>SUBTOTAL(109,Juillet[Congés])</totalsRowFormula>
    </tableColumn>
    <tableColumn id="35" name="Maladie" totalsRowFunction="custom" dataDxfId="565" totalsRowDxfId="564" dataCellStyle="Total">
      <totalsRowFormula>SUBTOTAL(109,Juillet[Maladie])</totalsRowFormula>
    </tableColumn>
    <tableColumn id="36" name="Personnel" totalsRowFunction="custom" dataDxfId="563" totalsRowDxfId="562"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7" name="Juin" displayName="Juin" ref="B6:AK13" totalsRowCount="1" headerRowDxfId="556" dataDxfId="555" totalsRowDxfId="554">
  <tableColumns count="36">
    <tableColumn id="1" name="Nom de l’employé" totalsRowFunction="custom" dataDxfId="553" totalsRowDxfId="552" dataCellStyle="Employé">
      <totalsRowFormula>NomMois&amp;" Total"</totalsRowFormula>
    </tableColumn>
    <tableColumn id="2" name="1" totalsRowFunction="count" dataDxfId="551" totalsRowDxfId="550"/>
    <tableColumn id="3" name="2" totalsRowFunction="count" dataDxfId="549" totalsRowDxfId="548"/>
    <tableColumn id="4" name="3" totalsRowFunction="count" dataDxfId="547" totalsRowDxfId="546"/>
    <tableColumn id="5" name="4" totalsRowFunction="count" dataDxfId="545" totalsRowDxfId="544"/>
    <tableColumn id="6" name="5" totalsRowFunction="count" dataDxfId="543" totalsRowDxfId="542"/>
    <tableColumn id="7" name="6" totalsRowFunction="count" dataDxfId="541" totalsRowDxfId="540"/>
    <tableColumn id="8" name="7" totalsRowFunction="count" dataDxfId="539" totalsRowDxfId="538"/>
    <tableColumn id="9" name="8" totalsRowFunction="count" dataDxfId="537" totalsRowDxfId="536"/>
    <tableColumn id="10" name="9" totalsRowFunction="count" dataDxfId="535" totalsRowDxfId="534"/>
    <tableColumn id="11" name="10" totalsRowFunction="count" dataDxfId="533" totalsRowDxfId="532"/>
    <tableColumn id="12" name="11" totalsRowFunction="count" dataDxfId="531" totalsRowDxfId="530"/>
    <tableColumn id="13" name="12" totalsRowFunction="count" dataDxfId="529" totalsRowDxfId="528"/>
    <tableColumn id="14" name="13" totalsRowFunction="count" dataDxfId="527" totalsRowDxfId="526"/>
    <tableColumn id="15" name="14" totalsRowFunction="count" dataDxfId="525" totalsRowDxfId="524"/>
    <tableColumn id="16" name="15" totalsRowFunction="count" dataDxfId="523" totalsRowDxfId="522"/>
    <tableColumn id="17" name="16" totalsRowFunction="count" dataDxfId="521" totalsRowDxfId="520"/>
    <tableColumn id="18" name="17" totalsRowFunction="count" dataDxfId="519" totalsRowDxfId="518"/>
    <tableColumn id="19" name="18" totalsRowFunction="count" dataDxfId="517" totalsRowDxfId="516"/>
    <tableColumn id="20" name="19" totalsRowFunction="count" dataDxfId="515" totalsRowDxfId="514"/>
    <tableColumn id="21" name="20" totalsRowFunction="count" dataDxfId="513" totalsRowDxfId="512"/>
    <tableColumn id="22" name="21" totalsRowFunction="count" dataDxfId="511" totalsRowDxfId="510"/>
    <tableColumn id="23" name="22" totalsRowFunction="count" dataDxfId="509" totalsRowDxfId="508"/>
    <tableColumn id="24" name="23" totalsRowFunction="count" dataDxfId="507" totalsRowDxfId="506"/>
    <tableColumn id="25" name="24" totalsRowFunction="count" dataDxfId="505" totalsRowDxfId="504"/>
    <tableColumn id="26" name="25" totalsRowFunction="count" dataDxfId="503" totalsRowDxfId="502"/>
    <tableColumn id="27" name="26" totalsRowFunction="count" dataDxfId="501" totalsRowDxfId="500"/>
    <tableColumn id="28" name="27" totalsRowFunction="count" dataDxfId="499" totalsRowDxfId="498"/>
    <tableColumn id="29" name="28" totalsRowFunction="count" dataDxfId="497" totalsRowDxfId="496"/>
    <tableColumn id="30" name="29" totalsRowFunction="count" dataDxfId="495" totalsRowDxfId="494"/>
    <tableColumn id="31" name="30" totalsRowFunction="count" dataDxfId="493" totalsRowDxfId="492"/>
    <tableColumn id="32" name=" " totalsRowFunction="count" dataDxfId="491" totalsRowDxfId="490"/>
    <tableColumn id="33" name="Travaillé" totalsRowFunction="sum" dataDxfId="489" totalsRowDxfId="488" dataCellStyle="Total"/>
    <tableColumn id="34" name="Congés" totalsRowFunction="custom" dataDxfId="487" totalsRowDxfId="486" dataCellStyle="Total">
      <totalsRowFormula>SUBTOTAL(109,Juillet[Congés])</totalsRowFormula>
    </tableColumn>
    <tableColumn id="35" name="Maladie" totalsRowFunction="custom" dataDxfId="485" totalsRowDxfId="484" dataCellStyle="Total">
      <totalsRowFormula>SUBTOTAL(109,Juillet[Maladie])</totalsRowFormula>
    </tableColumn>
    <tableColumn id="36" name="Personnel" totalsRowFunction="custom" dataDxfId="483" totalsRowDxfId="482"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18" name="Juillet" displayName="Juillet" ref="B6:AK14" totalsRowCount="1" headerRowDxfId="476" dataDxfId="475" totalsRowDxfId="474">
  <tableColumns count="36">
    <tableColumn id="1" name="Nom de l’employé" totalsRowFunction="custom" dataDxfId="473" totalsRowDxfId="472" dataCellStyle="Employé">
      <totalsRowFormula>NomMois&amp;" Total"</totalsRowFormula>
    </tableColumn>
    <tableColumn id="2" name="1" totalsRowFunction="count" dataDxfId="471" totalsRowDxfId="470"/>
    <tableColumn id="3" name="2" totalsRowFunction="count" dataDxfId="469" totalsRowDxfId="468"/>
    <tableColumn id="4" name="3" totalsRowFunction="count" dataDxfId="467" totalsRowDxfId="466"/>
    <tableColumn id="5" name="4" totalsRowFunction="count" dataDxfId="465" totalsRowDxfId="464"/>
    <tableColumn id="6" name="5" totalsRowFunction="count" dataDxfId="463" totalsRowDxfId="462"/>
    <tableColumn id="7" name="6" totalsRowFunction="count" dataDxfId="461" totalsRowDxfId="460"/>
    <tableColumn id="8" name="7" totalsRowFunction="count" dataDxfId="459" totalsRowDxfId="458"/>
    <tableColumn id="9" name="8" totalsRowFunction="count" dataDxfId="457" totalsRowDxfId="456"/>
    <tableColumn id="10" name="9" totalsRowFunction="count" dataDxfId="455" totalsRowDxfId="454"/>
    <tableColumn id="11" name="10" totalsRowFunction="count" dataDxfId="453" totalsRowDxfId="452"/>
    <tableColumn id="12" name="11" totalsRowFunction="count" dataDxfId="451" totalsRowDxfId="450"/>
    <tableColumn id="13" name="12" totalsRowFunction="count" dataDxfId="449" totalsRowDxfId="448"/>
    <tableColumn id="14" name="13" totalsRowFunction="count" dataDxfId="447" totalsRowDxfId="446"/>
    <tableColumn id="15" name="14" totalsRowFunction="count" dataDxfId="445" totalsRowDxfId="444"/>
    <tableColumn id="16" name="15" totalsRowFunction="count" dataDxfId="443" totalsRowDxfId="442"/>
    <tableColumn id="17" name="16" totalsRowFunction="count" dataDxfId="441" totalsRowDxfId="440"/>
    <tableColumn id="18" name="17" totalsRowFunction="count" dataDxfId="439" totalsRowDxfId="438"/>
    <tableColumn id="19" name="18" totalsRowFunction="count" dataDxfId="437" totalsRowDxfId="436"/>
    <tableColumn id="20" name="19" totalsRowFunction="count" dataDxfId="435" totalsRowDxfId="434"/>
    <tableColumn id="21" name="20" totalsRowFunction="count" dataDxfId="433" totalsRowDxfId="432"/>
    <tableColumn id="22" name="21" totalsRowFunction="count" dataDxfId="431" totalsRowDxfId="430"/>
    <tableColumn id="23" name="22" totalsRowFunction="count" dataDxfId="429" totalsRowDxfId="428"/>
    <tableColumn id="24" name="23" totalsRowFunction="count" dataDxfId="427" totalsRowDxfId="426"/>
    <tableColumn id="25" name="24" totalsRowFunction="count" dataDxfId="425" totalsRowDxfId="424"/>
    <tableColumn id="26" name="25" totalsRowFunction="count" dataDxfId="423" totalsRowDxfId="422"/>
    <tableColumn id="27" name="26" totalsRowFunction="count" dataDxfId="421" totalsRowDxfId="420"/>
    <tableColumn id="28" name="27" totalsRowFunction="count" dataDxfId="419" totalsRowDxfId="418"/>
    <tableColumn id="29" name="28" totalsRowFunction="count" dataDxfId="417" totalsRowDxfId="416"/>
    <tableColumn id="30" name="29" totalsRowFunction="count" dataDxfId="415" totalsRowDxfId="414"/>
    <tableColumn id="31" name="30" totalsRowFunction="count" dataDxfId="413" totalsRowDxfId="412"/>
    <tableColumn id="32" name="31" totalsRowFunction="count" dataDxfId="411" totalsRowDxfId="410"/>
    <tableColumn id="33" name="Travaillé" totalsRowFunction="sum" dataDxfId="409" totalsRowDxfId="408" dataCellStyle="Total"/>
    <tableColumn id="34" name="Congés" totalsRowFunction="sum" dataDxfId="407" totalsRowDxfId="406" dataCellStyle="Total"/>
    <tableColumn id="35" name="Maladie" totalsRowFunction="sum" dataDxfId="405" totalsRowDxfId="404" dataCellStyle="Total"/>
    <tableColumn id="36" name="Personnel" totalsRowFunction="sum" dataDxfId="403" totalsRowDxfId="402" dataCellStyle="Total"/>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19" name="Août" displayName="Août" ref="B6:AK13" totalsRowCount="1" headerRowDxfId="396" dataDxfId="395" totalsRowDxfId="394">
  <tableColumns count="36">
    <tableColumn id="1" name="Nom de l’employé" totalsRowFunction="custom" dataDxfId="393" totalsRowDxfId="392" dataCellStyle="Employé">
      <totalsRowFormula>NomMois&amp;" Total"</totalsRowFormula>
    </tableColumn>
    <tableColumn id="2" name="1" totalsRowFunction="count" dataDxfId="391" totalsRowDxfId="390"/>
    <tableColumn id="3" name="2" totalsRowFunction="count" dataDxfId="389" totalsRowDxfId="388"/>
    <tableColumn id="4" name="3" totalsRowFunction="count" dataDxfId="387" totalsRowDxfId="386"/>
    <tableColumn id="5" name="4" totalsRowFunction="count" dataDxfId="385" totalsRowDxfId="384"/>
    <tableColumn id="6" name="5" totalsRowFunction="count" dataDxfId="383" totalsRowDxfId="382"/>
    <tableColumn id="7" name="6" totalsRowFunction="count" dataDxfId="381" totalsRowDxfId="380"/>
    <tableColumn id="8" name="7" totalsRowFunction="count" dataDxfId="379" totalsRowDxfId="378"/>
    <tableColumn id="9" name="8" totalsRowFunction="count" dataDxfId="377" totalsRowDxfId="376"/>
    <tableColumn id="10" name="9" totalsRowFunction="count" dataDxfId="375" totalsRowDxfId="374"/>
    <tableColumn id="11" name="10" totalsRowFunction="count" dataDxfId="373" totalsRowDxfId="372"/>
    <tableColumn id="12" name="11" totalsRowFunction="count" dataDxfId="371" totalsRowDxfId="370"/>
    <tableColumn id="13" name="12" totalsRowFunction="count" dataDxfId="369" totalsRowDxfId="368"/>
    <tableColumn id="14" name="13" totalsRowFunction="count" dataDxfId="367" totalsRowDxfId="366"/>
    <tableColumn id="15" name="14" totalsRowFunction="count" dataDxfId="365" totalsRowDxfId="364"/>
    <tableColumn id="16" name="15" totalsRowFunction="count" dataDxfId="363" totalsRowDxfId="362"/>
    <tableColumn id="17" name="16" totalsRowFunction="count" dataDxfId="361" totalsRowDxfId="360"/>
    <tableColumn id="18" name="17" totalsRowFunction="count" dataDxfId="359" totalsRowDxfId="358"/>
    <tableColumn id="19" name="18" totalsRowFunction="count" dataDxfId="357" totalsRowDxfId="356"/>
    <tableColumn id="20" name="19" totalsRowFunction="count" dataDxfId="355" totalsRowDxfId="354"/>
    <tableColumn id="21" name="20" totalsRowFunction="count" dataDxfId="353" totalsRowDxfId="352"/>
    <tableColumn id="22" name="21" totalsRowFunction="count" dataDxfId="351" totalsRowDxfId="350"/>
    <tableColumn id="23" name="22" totalsRowFunction="count" dataDxfId="349" totalsRowDxfId="348"/>
    <tableColumn id="24" name="23" totalsRowFunction="count" dataDxfId="347" totalsRowDxfId="346"/>
    <tableColumn id="25" name="24" totalsRowFunction="count" dataDxfId="345" totalsRowDxfId="344"/>
    <tableColumn id="26" name="25" totalsRowFunction="count" dataDxfId="343" totalsRowDxfId="342"/>
    <tableColumn id="27" name="26" totalsRowFunction="count" dataDxfId="341" totalsRowDxfId="340"/>
    <tableColumn id="28" name="27" totalsRowFunction="count" dataDxfId="339" totalsRowDxfId="338"/>
    <tableColumn id="29" name="28" totalsRowFunction="count" dataDxfId="337" totalsRowDxfId="336"/>
    <tableColumn id="30" name="29" totalsRowFunction="count" dataDxfId="335" totalsRowDxfId="334"/>
    <tableColumn id="31" name="30" totalsRowFunction="count" dataDxfId="333" totalsRowDxfId="332"/>
    <tableColumn id="32" name="31" totalsRowFunction="count" dataDxfId="331" totalsRowDxfId="330"/>
    <tableColumn id="33" name="Travaillé" totalsRowFunction="sum" dataDxfId="329" totalsRowDxfId="328" dataCellStyle="Total"/>
    <tableColumn id="34" name="Congés" totalsRowFunction="custom" dataDxfId="327" totalsRowDxfId="326" dataCellStyle="Total">
      <totalsRowFormula>SUBTOTAL(109,Juillet[Congés])</totalsRowFormula>
    </tableColumn>
    <tableColumn id="35" name="Maladie" totalsRowFunction="custom" dataDxfId="325" totalsRowDxfId="324" dataCellStyle="Total">
      <totalsRowFormula>SUBTOTAL(109,Juillet[Maladie])</totalsRowFormula>
    </tableColumn>
    <tableColumn id="36" name="Personnel" totalsRowFunction="custom" dataDxfId="323" totalsRowDxfId="322"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20" name="Septembre" displayName="Septembre" ref="B6:AK13" totalsRowCount="1" headerRowDxfId="316" dataDxfId="315" totalsRowDxfId="314">
  <tableColumns count="36">
    <tableColumn id="1" name="Nom de l’employé" totalsRowFunction="custom" dataDxfId="313" totalsRowDxfId="312" dataCellStyle="Employé">
      <totalsRowFormula>NomMois&amp;" Total"</totalsRowFormula>
    </tableColumn>
    <tableColumn id="2" name="1" totalsRowFunction="count" dataDxfId="311" totalsRowDxfId="310"/>
    <tableColumn id="3" name="2" totalsRowFunction="count" dataDxfId="309" totalsRowDxfId="308"/>
    <tableColumn id="4" name="3" totalsRowFunction="count" dataDxfId="307" totalsRowDxfId="306"/>
    <tableColumn id="5" name="4" totalsRowFunction="count" dataDxfId="305" totalsRowDxfId="304"/>
    <tableColumn id="6" name="5" totalsRowFunction="count" dataDxfId="303" totalsRowDxfId="302"/>
    <tableColumn id="7" name="6" totalsRowFunction="count" dataDxfId="301" totalsRowDxfId="300"/>
    <tableColumn id="8" name="7" totalsRowFunction="count" dataDxfId="299" totalsRowDxfId="298"/>
    <tableColumn id="9" name="8" totalsRowFunction="count" dataDxfId="297" totalsRowDxfId="296"/>
    <tableColumn id="10" name="9" totalsRowFunction="count" dataDxfId="295" totalsRowDxfId="294"/>
    <tableColumn id="11" name="10" totalsRowFunction="count" dataDxfId="293" totalsRowDxfId="292"/>
    <tableColumn id="12" name="11" totalsRowFunction="count" dataDxfId="291" totalsRowDxfId="290"/>
    <tableColumn id="13" name="12" totalsRowFunction="count" dataDxfId="289" totalsRowDxfId="288"/>
    <tableColumn id="14" name="13" totalsRowFunction="count" dataDxfId="287" totalsRowDxfId="286"/>
    <tableColumn id="15" name="14" totalsRowFunction="count" dataDxfId="285" totalsRowDxfId="284"/>
    <tableColumn id="16" name="15" totalsRowFunction="count" dataDxfId="283" totalsRowDxfId="282"/>
    <tableColumn id="17" name="16" totalsRowFunction="count" dataDxfId="281" totalsRowDxfId="280"/>
    <tableColumn id="18" name="17" totalsRowFunction="count" dataDxfId="279" totalsRowDxfId="278"/>
    <tableColumn id="19" name="18" totalsRowFunction="count" dataDxfId="277" totalsRowDxfId="276"/>
    <tableColumn id="20" name="19" totalsRowFunction="count" dataDxfId="275" totalsRowDxfId="274"/>
    <tableColumn id="21" name="20" totalsRowFunction="count" dataDxfId="273" totalsRowDxfId="272"/>
    <tableColumn id="22" name="21" totalsRowFunction="count" dataDxfId="271" totalsRowDxfId="270"/>
    <tableColumn id="23" name="22" totalsRowFunction="count" dataDxfId="269" totalsRowDxfId="268"/>
    <tableColumn id="24" name="23" totalsRowFunction="count" dataDxfId="267" totalsRowDxfId="266"/>
    <tableColumn id="25" name="24" totalsRowFunction="count" dataDxfId="265" totalsRowDxfId="264"/>
    <tableColumn id="26" name="25" totalsRowFunction="count" dataDxfId="263" totalsRowDxfId="262"/>
    <tableColumn id="27" name="26" totalsRowFunction="count" dataDxfId="261" totalsRowDxfId="260"/>
    <tableColumn id="28" name="27" totalsRowFunction="count" dataDxfId="259" totalsRowDxfId="258"/>
    <tableColumn id="29" name="28" totalsRowFunction="count" dataDxfId="257" totalsRowDxfId="256"/>
    <tableColumn id="30" name="29" totalsRowFunction="count" dataDxfId="255" totalsRowDxfId="254"/>
    <tableColumn id="31" name="30" totalsRowFunction="count" dataDxfId="253" totalsRowDxfId="252"/>
    <tableColumn id="32" name=" " totalsRowFunction="count" dataDxfId="251" totalsRowDxfId="250"/>
    <tableColumn id="33" name="Travaillé" totalsRowFunction="sum" dataDxfId="249" totalsRowDxfId="248" dataCellStyle="Total"/>
    <tableColumn id="34" name="Congés" totalsRowFunction="custom" dataDxfId="247" totalsRowDxfId="246" dataCellStyle="Total">
      <totalsRowFormula>SUBTOTAL(109,Juillet[Congés])</totalsRowFormula>
    </tableColumn>
    <tableColumn id="35" name="Maladie" totalsRowFunction="custom" dataDxfId="245" totalsRowDxfId="244" dataCellStyle="Total">
      <totalsRowFormula>SUBTOTAL(109,Juillet[Maladie])</totalsRowFormula>
    </tableColumn>
    <tableColumn id="36" name="Personnel" totalsRowFunction="custom" dataDxfId="243" totalsRowDxfId="242"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21" name="Octobre" displayName="Octobre" ref="B6:AK13" totalsRowCount="1" headerRowDxfId="236" dataDxfId="235" totalsRowDxfId="234">
  <tableColumns count="36">
    <tableColumn id="1" name="Nom de l’employé" totalsRowFunction="custom" dataDxfId="233" totalsRowDxfId="232" dataCellStyle="Employé">
      <totalsRowFormula>NomMois&amp;" Total"</totalsRowFormula>
    </tableColumn>
    <tableColumn id="2" name="1" totalsRowFunction="count" dataDxfId="231" totalsRowDxfId="230"/>
    <tableColumn id="3" name="2" totalsRowFunction="count" dataDxfId="229" totalsRowDxfId="228"/>
    <tableColumn id="4" name="3" totalsRowFunction="count" dataDxfId="227" totalsRowDxfId="226"/>
    <tableColumn id="5" name="4" totalsRowFunction="count" dataDxfId="225" totalsRowDxfId="224"/>
    <tableColumn id="6" name="5" totalsRowFunction="count" dataDxfId="223" totalsRowDxfId="222"/>
    <tableColumn id="7" name="6" totalsRowFunction="count" dataDxfId="221" totalsRowDxfId="220"/>
    <tableColumn id="8" name="7" totalsRowFunction="count" dataDxfId="219" totalsRowDxfId="218"/>
    <tableColumn id="9" name="8" totalsRowFunction="count" dataDxfId="217" totalsRowDxfId="216"/>
    <tableColumn id="10" name="9" totalsRowFunction="count" dataDxfId="215" totalsRowDxfId="214"/>
    <tableColumn id="11" name="10" totalsRowFunction="count" dataDxfId="213" totalsRowDxfId="212"/>
    <tableColumn id="12" name="11" totalsRowFunction="count" dataDxfId="211" totalsRowDxfId="210"/>
    <tableColumn id="13" name="12" totalsRowFunction="count" dataDxfId="209" totalsRowDxfId="208"/>
    <tableColumn id="14" name="13" totalsRowFunction="count" dataDxfId="207" totalsRowDxfId="206"/>
    <tableColumn id="15" name="14" totalsRowFunction="count" dataDxfId="205" totalsRowDxfId="204"/>
    <tableColumn id="16" name="15" totalsRowFunction="count" dataDxfId="203" totalsRowDxfId="202"/>
    <tableColumn id="17" name="16" totalsRowFunction="count" dataDxfId="201" totalsRowDxfId="200"/>
    <tableColumn id="18" name="17" totalsRowFunction="count" dataDxfId="199" totalsRowDxfId="198"/>
    <tableColumn id="19" name="18" totalsRowFunction="count" dataDxfId="197" totalsRowDxfId="196"/>
    <tableColumn id="20" name="19" totalsRowFunction="count" dataDxfId="195" totalsRowDxfId="194"/>
    <tableColumn id="21" name="20" totalsRowFunction="count" dataDxfId="193" totalsRowDxfId="192"/>
    <tableColumn id="22" name="21" totalsRowFunction="count" dataDxfId="191" totalsRowDxfId="190"/>
    <tableColumn id="23" name="22" totalsRowFunction="count" dataDxfId="189" totalsRowDxfId="188"/>
    <tableColumn id="24" name="23" totalsRowFunction="count" dataDxfId="187" totalsRowDxfId="186"/>
    <tableColumn id="25" name="24" totalsRowFunction="count" dataDxfId="185" totalsRowDxfId="184"/>
    <tableColumn id="26" name="25" totalsRowFunction="count" dataDxfId="183" totalsRowDxfId="182"/>
    <tableColumn id="27" name="26" totalsRowFunction="count" dataDxfId="181" totalsRowDxfId="180"/>
    <tableColumn id="28" name="27" totalsRowFunction="count" dataDxfId="179" totalsRowDxfId="178"/>
    <tableColumn id="29" name="28" totalsRowFunction="count" dataDxfId="177" totalsRowDxfId="176"/>
    <tableColumn id="30" name="29" totalsRowFunction="count" dataDxfId="175" totalsRowDxfId="174"/>
    <tableColumn id="31" name="30" totalsRowFunction="count" dataDxfId="173" totalsRowDxfId="172"/>
    <tableColumn id="32" name="31" totalsRowFunction="count" dataDxfId="171" totalsRowDxfId="170"/>
    <tableColumn id="33" name="Travaillé" totalsRowFunction="sum" dataDxfId="169" totalsRowDxfId="168" dataCellStyle="Total"/>
    <tableColumn id="34" name="Congés" totalsRowFunction="custom" dataDxfId="167" totalsRowDxfId="166" dataCellStyle="Total">
      <totalsRowFormula>SUBTOTAL(109,Juillet[Congés])</totalsRowFormula>
    </tableColumn>
    <tableColumn id="35" name="Maladie" totalsRowFunction="custom" dataDxfId="165" totalsRowDxfId="164" dataCellStyle="Total">
      <totalsRowFormula>SUBTOTAL(109,Juillet[Maladie])</totalsRowFormula>
    </tableColumn>
    <tableColumn id="36" name="Personnel" totalsRowFunction="custom" dataDxfId="163" totalsRowDxfId="162"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22" name="Novembre" displayName="Novembre" ref="B6:AK13" totalsRowCount="1" headerRowDxfId="156" dataDxfId="155" totalsRowDxfId="154">
  <tableColumns count="36">
    <tableColumn id="1" name="Nom de l’employé" totalsRowFunction="custom" dataDxfId="153" totalsRowDxfId="152" dataCellStyle="Employé">
      <totalsRowFormula>NomMois&amp;" Total"</totalsRowFormula>
    </tableColumn>
    <tableColumn id="2" name="1" totalsRowFunction="count" dataDxfId="151" totalsRowDxfId="150"/>
    <tableColumn id="3" name="2" totalsRowFunction="count" dataDxfId="149" totalsRowDxfId="148"/>
    <tableColumn id="4" name="3" totalsRowFunction="count" dataDxfId="147" totalsRowDxfId="146"/>
    <tableColumn id="5" name="4" totalsRowFunction="count" dataDxfId="145" totalsRowDxfId="144"/>
    <tableColumn id="6" name="5" totalsRowFunction="count" dataDxfId="143" totalsRowDxfId="142"/>
    <tableColumn id="7" name="6" totalsRowFunction="count" dataDxfId="141" totalsRowDxfId="140"/>
    <tableColumn id="8" name="7" totalsRowFunction="count" dataDxfId="139" totalsRowDxfId="138"/>
    <tableColumn id="9" name="8" totalsRowFunction="count" dataDxfId="137" totalsRowDxfId="136"/>
    <tableColumn id="10" name="9" totalsRowFunction="count" dataDxfId="135" totalsRowDxfId="134"/>
    <tableColumn id="11" name="10" totalsRowFunction="count" dataDxfId="133" totalsRowDxfId="132"/>
    <tableColumn id="12" name="11" totalsRowFunction="count" dataDxfId="131" totalsRowDxfId="130"/>
    <tableColumn id="13" name="12" totalsRowFunction="count" dataDxfId="129" totalsRowDxfId="128"/>
    <tableColumn id="14" name="13" totalsRowFunction="count" dataDxfId="127" totalsRowDxfId="126"/>
    <tableColumn id="15" name="14" totalsRowFunction="count" dataDxfId="125" totalsRowDxfId="124"/>
    <tableColumn id="16" name="15" totalsRowFunction="count" dataDxfId="123" totalsRowDxfId="122"/>
    <tableColumn id="17" name="16" totalsRowFunction="count" dataDxfId="121" totalsRowDxfId="120"/>
    <tableColumn id="18" name="17" totalsRowFunction="count" dataDxfId="119" totalsRowDxfId="118"/>
    <tableColumn id="19" name="18" totalsRowFunction="count" dataDxfId="117" totalsRowDxfId="116"/>
    <tableColumn id="20" name="19" totalsRowFunction="count" dataDxfId="115" totalsRowDxfId="114"/>
    <tableColumn id="21" name="20" totalsRowFunction="count" dataDxfId="113" totalsRowDxfId="112"/>
    <tableColumn id="22" name="21" totalsRowFunction="count" dataDxfId="111" totalsRowDxfId="110"/>
    <tableColumn id="23" name="22" totalsRowFunction="count" dataDxfId="109" totalsRowDxfId="108"/>
    <tableColumn id="24" name="23" totalsRowFunction="count" dataDxfId="107" totalsRowDxfId="106"/>
    <tableColumn id="25" name="24" totalsRowFunction="count" dataDxfId="105" totalsRowDxfId="104"/>
    <tableColumn id="26" name="25" totalsRowFunction="count" dataDxfId="103" totalsRowDxfId="102"/>
    <tableColumn id="27" name="26" totalsRowFunction="count" dataDxfId="101" totalsRowDxfId="100"/>
    <tableColumn id="28" name="27" totalsRowFunction="count" dataDxfId="99" totalsRowDxfId="98"/>
    <tableColumn id="29" name="28" totalsRowFunction="count" dataDxfId="97" totalsRowDxfId="96"/>
    <tableColumn id="30" name="29" totalsRowFunction="count" dataDxfId="95" totalsRowDxfId="94"/>
    <tableColumn id="31" name="30" totalsRowFunction="count" dataDxfId="93" totalsRowDxfId="92"/>
    <tableColumn id="32" name=" " totalsRowFunction="count" dataDxfId="91" totalsRowDxfId="90"/>
    <tableColumn id="33" name="Travaillé" totalsRowFunction="sum" dataDxfId="89" totalsRowDxfId="88" dataCellStyle="Total"/>
    <tableColumn id="34" name="Congés" totalsRowFunction="custom" dataDxfId="87" totalsRowDxfId="86" dataCellStyle="Total">
      <totalsRowFormula>SUBTOTAL(109,Juillet[Congés])</totalsRowFormula>
    </tableColumn>
    <tableColumn id="35" name="Maladie" totalsRowFunction="custom" dataDxfId="85" totalsRowDxfId="84" dataCellStyle="Total">
      <totalsRowFormula>SUBTOTAL(109,Juillet[Maladie])</totalsRowFormula>
    </tableColumn>
    <tableColumn id="36" name="Personnel" totalsRowFunction="custom" dataDxfId="83" totalsRowDxfId="82"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12" name="Décembre" displayName="Décembre" ref="B6:AK13" totalsRowCount="1" headerRowDxfId="76" dataDxfId="75" totalsRowDxfId="74">
  <tableColumns count="36">
    <tableColumn id="1" name="Nom de l’employé" totalsRowFunction="custom" dataDxfId="73" totalsRowDxfId="72" dataCellStyle="Employé">
      <totalsRowFormula>NomMois&amp;" Total"</totalsRowFormula>
    </tableColumn>
    <tableColumn id="2" name="1" totalsRowFunction="count" dataDxfId="71" totalsRowDxfId="70"/>
    <tableColumn id="3" name="2" totalsRowFunction="count" dataDxfId="69" totalsRowDxfId="68"/>
    <tableColumn id="4" name="3" totalsRowFunction="count" dataDxfId="67" totalsRowDxfId="66"/>
    <tableColumn id="5" name="4" totalsRowFunction="count" dataDxfId="65" totalsRowDxfId="64"/>
    <tableColumn id="6" name="5" totalsRowFunction="count" dataDxfId="63" totalsRowDxfId="62"/>
    <tableColumn id="7" name="6" totalsRowFunction="count" dataDxfId="61" totalsRowDxfId="60"/>
    <tableColumn id="8" name="7" totalsRowFunction="count" dataDxfId="59" totalsRowDxfId="58"/>
    <tableColumn id="9" name="8" totalsRowFunction="count" dataDxfId="57" totalsRowDxfId="56"/>
    <tableColumn id="10" name="9" totalsRowFunction="count" dataDxfId="55" totalsRowDxfId="54"/>
    <tableColumn id="11" name="10" totalsRowFunction="count" dataDxfId="53" totalsRowDxfId="52"/>
    <tableColumn id="12" name="11" totalsRowFunction="count" dataDxfId="51" totalsRowDxfId="50"/>
    <tableColumn id="13" name="12" totalsRowFunction="count" dataDxfId="49" totalsRowDxfId="48"/>
    <tableColumn id="14" name="13" totalsRowFunction="count" dataDxfId="47" totalsRowDxfId="46"/>
    <tableColumn id="15" name="14" totalsRowFunction="count" dataDxfId="45" totalsRowDxfId="44"/>
    <tableColumn id="16" name="15" totalsRowFunction="count" dataDxfId="43" totalsRowDxfId="42"/>
    <tableColumn id="17" name="16" totalsRowFunction="count" dataDxfId="41" totalsRowDxfId="40"/>
    <tableColumn id="18" name="17" totalsRowFunction="count" dataDxfId="39" totalsRowDxfId="38"/>
    <tableColumn id="19" name="18" totalsRowFunction="count" dataDxfId="37" totalsRowDxfId="36"/>
    <tableColumn id="20" name="19" totalsRowFunction="count" dataDxfId="35" totalsRowDxfId="34"/>
    <tableColumn id="21" name="20" totalsRowFunction="count" dataDxfId="33" totalsRowDxfId="32"/>
    <tableColumn id="22" name="21" totalsRowFunction="count" dataDxfId="31" totalsRowDxfId="30"/>
    <tableColumn id="23" name="22" totalsRowFunction="count" dataDxfId="29" totalsRowDxfId="28"/>
    <tableColumn id="24" name="23" totalsRowFunction="count" dataDxfId="27" totalsRowDxfId="26"/>
    <tableColumn id="25" name="24" totalsRowFunction="count" dataDxfId="25" totalsRowDxfId="24"/>
    <tableColumn id="26" name="25" totalsRowFunction="count" dataDxfId="23" totalsRowDxfId="22"/>
    <tableColumn id="27" name="26" totalsRowFunction="count" dataDxfId="21" totalsRowDxfId="20"/>
    <tableColumn id="28" name="27" totalsRowFunction="count" dataDxfId="19" totalsRowDxfId="18"/>
    <tableColumn id="29" name="28" totalsRowFunction="count" dataDxfId="17" totalsRowDxfId="16"/>
    <tableColumn id="30" name="29" totalsRowFunction="count" dataDxfId="15" totalsRowDxfId="14"/>
    <tableColumn id="31" name="30" totalsRowFunction="count" dataDxfId="13" totalsRowDxfId="12"/>
    <tableColumn id="32" name="31" totalsRowFunction="count" dataDxfId="11" totalsRowDxfId="10"/>
    <tableColumn id="33" name="Travaillé" totalsRowFunction="sum" dataDxfId="9" totalsRowDxfId="8" dataCellStyle="Total"/>
    <tableColumn id="34" name="Congés" totalsRowFunction="custom" dataDxfId="7" totalsRowDxfId="6" dataCellStyle="Total">
      <totalsRowFormula>SUBTOTAL(109,Juillet[Congés])</totalsRowFormula>
    </tableColumn>
    <tableColumn id="35" name="Maladie" totalsRowFunction="custom" dataDxfId="5" totalsRowDxfId="4" dataCellStyle="Total">
      <totalsRowFormula>SUBTOTAL(109,Juillet[Maladie])</totalsRowFormula>
    </tableColumn>
    <tableColumn id="36" name="Personnel" totalsRowFunction="custom" dataDxfId="3" totalsRowDxfId="2"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id="13" name="NomEmployé" displayName="NomEmployé" ref="B3:B20">
  <autoFilter ref="B3:B20"/>
  <tableColumns count="1">
    <tableColumn id="1" name="Noms des employés" totalsRowFunction="count" totalsRowDxfId="1"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ables/table14.xml><?xml version="1.0" encoding="utf-8"?>
<table xmlns="http://schemas.openxmlformats.org/spreadsheetml/2006/main" id="5" name="CODESVALEURS" displayName="CODESVALEURS" ref="A1:B6" totalsRowShown="0">
  <autoFilter ref="A1:B6"/>
  <tableColumns count="2">
    <tableColumn id="1" name="Codes "/>
    <tableColumn id="2" name="Valeurs"/>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4.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1" Type="http://schemas.openxmlformats.org/officeDocument/2006/relationships/table" Target="../tables/table14.xml"/></Relationships>
</file>

<file path=xl/worksheets/sheet1.xml><?xml version="1.0" encoding="utf-8"?>
<worksheet xmlns="http://schemas.openxmlformats.org/spreadsheetml/2006/main" xmlns:r="http://schemas.openxmlformats.org/officeDocument/2006/relationships">
  <sheetPr>
    <tabColor theme="2" tint="-0.89999084444715716"/>
  </sheetPr>
  <dimension ref="A1:AK15"/>
  <sheetViews>
    <sheetView showGridLines="0" tabSelected="1" workbookViewId="0">
      <selection activeCell="X9" sqref="X9"/>
    </sheetView>
  </sheetViews>
  <sheetFormatPr baseColWidth="10" defaultColWidth="9.140625" defaultRowHeight="30" customHeight="1"/>
  <cols>
    <col min="1" max="1" width="2.7109375" style="10" customWidth="1"/>
    <col min="2" max="2" width="25.7109375" style="10" customWidth="1"/>
    <col min="3" max="33" width="4.7109375" style="10" customWidth="1"/>
    <col min="34" max="35" width="9.5703125" style="10" customWidth="1"/>
    <col min="36" max="37" width="9.5703125" customWidth="1"/>
  </cols>
  <sheetData>
    <row r="1" spans="1:37" ht="50.1" customHeight="1">
      <c r="A1" s="16"/>
      <c r="B1" s="13" t="s">
        <v>67</v>
      </c>
    </row>
    <row r="2" spans="1:37" ht="15" customHeight="1">
      <c r="B2" s="17" t="s">
        <v>0</v>
      </c>
      <c r="C2" s="4" t="s">
        <v>63</v>
      </c>
      <c r="D2" s="59" t="s">
        <v>64</v>
      </c>
      <c r="E2" s="60"/>
      <c r="F2" s="5" t="s">
        <v>14</v>
      </c>
      <c r="G2" s="62" t="s">
        <v>18</v>
      </c>
      <c r="H2" s="62"/>
      <c r="I2" s="29"/>
      <c r="J2" s="6" t="s">
        <v>16</v>
      </c>
      <c r="K2" s="60" t="s">
        <v>23</v>
      </c>
      <c r="L2" s="60"/>
      <c r="M2" s="7" t="s">
        <v>8</v>
      </c>
      <c r="N2" s="61" t="s">
        <v>65</v>
      </c>
      <c r="O2" s="61"/>
      <c r="P2" s="8" t="s">
        <v>83</v>
      </c>
      <c r="Q2" s="29" t="s">
        <v>32</v>
      </c>
      <c r="R2" s="29"/>
      <c r="S2" s="29"/>
      <c r="T2" s="29"/>
    </row>
    <row r="3" spans="1:37" ht="15" customHeight="1">
      <c r="AH3" s="56" t="s">
        <v>48</v>
      </c>
      <c r="AI3" s="56"/>
    </row>
    <row r="4" spans="1:37" ht="30" customHeight="1">
      <c r="B4" s="11" t="s">
        <v>1</v>
      </c>
      <c r="C4" s="58" t="s">
        <v>66</v>
      </c>
      <c r="D4" s="58"/>
      <c r="E4" s="58"/>
      <c r="F4" s="58"/>
      <c r="G4" s="58"/>
      <c r="H4" s="58"/>
      <c r="I4" s="58"/>
      <c r="J4" s="58"/>
      <c r="K4" s="58"/>
      <c r="L4" s="58"/>
      <c r="M4" s="58"/>
      <c r="N4" s="58"/>
      <c r="O4" s="58"/>
      <c r="P4" s="58"/>
      <c r="Q4" s="58"/>
      <c r="R4" s="58"/>
      <c r="S4" s="58"/>
      <c r="T4" s="58"/>
      <c r="U4" s="58"/>
      <c r="V4" s="58"/>
      <c r="W4" s="58"/>
      <c r="X4" s="58"/>
      <c r="Y4" s="58"/>
      <c r="Z4" s="58"/>
      <c r="AA4" s="58"/>
      <c r="AB4" s="58"/>
      <c r="AC4" s="58"/>
      <c r="AD4" s="58"/>
      <c r="AE4" s="58"/>
      <c r="AF4" s="58"/>
      <c r="AG4" s="58"/>
      <c r="AH4" s="57">
        <v>2019</v>
      </c>
      <c r="AI4" s="57"/>
      <c r="AJ4" s="57"/>
      <c r="AK4" s="57"/>
    </row>
    <row r="5" spans="1:37" ht="15" customHeight="1">
      <c r="B5" s="11"/>
      <c r="C5" s="2" t="str">
        <f>TEXT(WEEKDAY(DATE(AnnéeCalendrier,1,1),1),"jjj")</f>
        <v>mar</v>
      </c>
      <c r="D5" s="2" t="str">
        <f>TEXT(WEEKDAY(DATE(AnnéeCalendrier,1,2),1),"jjj")</f>
        <v>mer</v>
      </c>
      <c r="E5" s="2" t="str">
        <f>TEXT(WEEKDAY(DATE(AnnéeCalendrier,1,3),1),"jjj")</f>
        <v>jeu</v>
      </c>
      <c r="F5" s="2" t="str">
        <f>TEXT(WEEKDAY(DATE(AnnéeCalendrier,1,4),1),"jjj")</f>
        <v>ven</v>
      </c>
      <c r="G5" s="2" t="str">
        <f>TEXT(WEEKDAY(DATE(AnnéeCalendrier,1,5),1),"jjj")</f>
        <v>sam</v>
      </c>
      <c r="H5" s="2" t="str">
        <f>TEXT(WEEKDAY(DATE(AnnéeCalendrier,1,6),1),"jjj")</f>
        <v>dim</v>
      </c>
      <c r="I5" s="2" t="str">
        <f>TEXT(WEEKDAY(DATE(AnnéeCalendrier,1,7),1),"jjj")</f>
        <v>lun</v>
      </c>
      <c r="J5" s="2" t="str">
        <f>TEXT(WEEKDAY(DATE(AnnéeCalendrier,1,8),1),"jjj")</f>
        <v>mar</v>
      </c>
      <c r="K5" s="2" t="str">
        <f>TEXT(WEEKDAY(DATE(AnnéeCalendrier,1,9),1),"jjj")</f>
        <v>mer</v>
      </c>
      <c r="L5" s="2" t="str">
        <f>TEXT(WEEKDAY(DATE(AnnéeCalendrier,1,10),1),"jjj")</f>
        <v>jeu</v>
      </c>
      <c r="M5" s="2" t="str">
        <f>TEXT(WEEKDAY(DATE(AnnéeCalendrier,1,11),1),"jjj")</f>
        <v>ven</v>
      </c>
      <c r="N5" s="2" t="str">
        <f>TEXT(WEEKDAY(DATE(AnnéeCalendrier,1,12),1),"jjj")</f>
        <v>sam</v>
      </c>
      <c r="O5" s="2" t="str">
        <f>TEXT(WEEKDAY(DATE(AnnéeCalendrier,1,13),1),"jjj")</f>
        <v>dim</v>
      </c>
      <c r="P5" s="2" t="str">
        <f>TEXT(WEEKDAY(DATE(AnnéeCalendrier,1,14),1),"jjj")</f>
        <v>lun</v>
      </c>
      <c r="Q5" s="2" t="str">
        <f>TEXT(WEEKDAY(DATE(AnnéeCalendrier,1,15),1),"jjj")</f>
        <v>mar</v>
      </c>
      <c r="R5" s="2" t="str">
        <f>TEXT(WEEKDAY(DATE(AnnéeCalendrier,1,16),1),"jjj")</f>
        <v>mer</v>
      </c>
      <c r="S5" s="2" t="str">
        <f>TEXT(WEEKDAY(DATE(AnnéeCalendrier,1,17),1),"jjj")</f>
        <v>jeu</v>
      </c>
      <c r="T5" s="2" t="str">
        <f>TEXT(WEEKDAY(DATE(AnnéeCalendrier,1,18),1),"jjj")</f>
        <v>ven</v>
      </c>
      <c r="U5" s="2" t="str">
        <f>TEXT(WEEKDAY(DATE(AnnéeCalendrier,1,19),1),"jjj")</f>
        <v>sam</v>
      </c>
      <c r="V5" s="2" t="str">
        <f>TEXT(WEEKDAY(DATE(AnnéeCalendrier,1,20),1),"jjj")</f>
        <v>dim</v>
      </c>
      <c r="W5" s="2" t="str">
        <f>TEXT(WEEKDAY(DATE(AnnéeCalendrier,1,21),1),"jjj")</f>
        <v>lun</v>
      </c>
      <c r="X5" s="2" t="str">
        <f>TEXT(WEEKDAY(DATE(AnnéeCalendrier,1,22),1),"jjj")</f>
        <v>mar</v>
      </c>
      <c r="Y5" s="2" t="str">
        <f>TEXT(WEEKDAY(DATE(AnnéeCalendrier,1,23),1),"jjj")</f>
        <v>mer</v>
      </c>
      <c r="Z5" s="2" t="str">
        <f>TEXT(WEEKDAY(DATE(AnnéeCalendrier,1,24),1),"jjj")</f>
        <v>jeu</v>
      </c>
      <c r="AA5" s="2" t="str">
        <f>TEXT(WEEKDAY(DATE(AnnéeCalendrier,1,25),1),"jjj")</f>
        <v>ven</v>
      </c>
      <c r="AB5" s="2" t="str">
        <f>TEXT(WEEKDAY(DATE(AnnéeCalendrier,1,26),1),"jjj")</f>
        <v>sam</v>
      </c>
      <c r="AC5" s="2" t="str">
        <f>TEXT(WEEKDAY(DATE(AnnéeCalendrier,1,27),1),"jjj")</f>
        <v>dim</v>
      </c>
      <c r="AD5" s="2" t="str">
        <f>TEXT(WEEKDAY(DATE(AnnéeCalendrier,1,28),1),"jjj")</f>
        <v>lun</v>
      </c>
      <c r="AE5" s="2" t="str">
        <f>TEXT(WEEKDAY(DATE(AnnéeCalendrier,1,29),1),"jjj")</f>
        <v>mar</v>
      </c>
      <c r="AF5" s="2" t="str">
        <f>TEXT(WEEKDAY(DATE(AnnéeCalendrier,1,30),1),"jjj")</f>
        <v>mer</v>
      </c>
      <c r="AG5" s="2" t="str">
        <f>TEXT(WEEKDAY(DATE(AnnéeCalendrier,1,31),1),"jjj")</f>
        <v>jeu</v>
      </c>
      <c r="AH5" s="11"/>
      <c r="AI5" s="21"/>
      <c r="AJ5" s="21"/>
      <c r="AK5" s="21"/>
    </row>
    <row r="6" spans="1:37" ht="15" customHeight="1" thickBot="1">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1:37" ht="30" customHeight="1">
      <c r="B7" s="32" t="s">
        <v>68</v>
      </c>
      <c r="C7" s="33"/>
      <c r="D7" s="33"/>
      <c r="E7" s="33"/>
      <c r="F7" s="33"/>
      <c r="G7" s="65" t="s">
        <v>89</v>
      </c>
      <c r="H7" s="33"/>
      <c r="I7" s="33"/>
      <c r="J7" s="33"/>
      <c r="K7" s="33"/>
      <c r="L7" s="33"/>
      <c r="M7" s="65" t="s">
        <v>89</v>
      </c>
      <c r="N7" s="33"/>
      <c r="O7" s="33"/>
      <c r="P7" s="33"/>
      <c r="Q7" s="65" t="s">
        <v>90</v>
      </c>
      <c r="R7" s="33"/>
      <c r="S7" s="33"/>
      <c r="T7" s="65" t="s">
        <v>91</v>
      </c>
      <c r="U7" s="65" t="s">
        <v>91</v>
      </c>
      <c r="V7" s="33"/>
      <c r="W7" s="33"/>
      <c r="X7" s="33"/>
      <c r="Y7" s="33"/>
      <c r="Z7" s="33"/>
      <c r="AA7" s="65" t="s">
        <v>92</v>
      </c>
      <c r="AB7" s="65" t="s">
        <v>92</v>
      </c>
      <c r="AC7" s="65" t="s">
        <v>92</v>
      </c>
      <c r="AD7" s="65" t="s">
        <v>92</v>
      </c>
      <c r="AE7" s="65" t="s">
        <v>92</v>
      </c>
      <c r="AF7" s="33"/>
      <c r="AG7" s="33"/>
      <c r="AH7" s="36">
        <f>SUMPRODUCT(--(Janvier[[#This Row],[1]:[31]]=LEFT(Janvier[[#Headers],[Travaillé]],1)))</f>
        <v>2</v>
      </c>
      <c r="AI7" s="36">
        <f>SUMPRODUCT(--(Janvier[[#This Row],[1]:[31]]=LEFT(Janvier[[#Headers],[Congés]],1)))</f>
        <v>1</v>
      </c>
      <c r="AJ7" s="36">
        <f>SUMPRODUCT(--(Janvier[[#This Row],[1]:[31]]=LEFT(Janvier[[#Headers],[Maladie]],1)))</f>
        <v>2</v>
      </c>
      <c r="AK7" s="36">
        <f>SUMPRODUCT(--(Janvier[[#This Row],[1]:[31]]=LEFT(Janvier[[#Headers],[Personnel]],1)))</f>
        <v>5</v>
      </c>
    </row>
    <row r="8" spans="1:37" ht="30" customHeight="1">
      <c r="B8" s="34" t="s">
        <v>69</v>
      </c>
      <c r="C8" s="30"/>
      <c r="D8" s="30"/>
      <c r="E8" s="30"/>
      <c r="F8" s="30"/>
      <c r="G8" s="30"/>
      <c r="H8" s="30"/>
      <c r="I8" s="30"/>
      <c r="J8" s="30"/>
      <c r="K8" s="30"/>
      <c r="L8" s="30"/>
      <c r="M8" s="30"/>
      <c r="N8" s="30"/>
      <c r="O8" s="30"/>
      <c r="P8" s="30"/>
      <c r="Q8" s="30"/>
      <c r="R8" s="30"/>
      <c r="S8" s="30"/>
      <c r="T8" s="30"/>
      <c r="U8" s="30"/>
      <c r="V8" s="30"/>
      <c r="W8" s="30"/>
      <c r="X8" s="30"/>
      <c r="Y8" s="30"/>
      <c r="Z8" s="30"/>
      <c r="AA8" s="30"/>
      <c r="AB8" s="30"/>
      <c r="AC8" s="30"/>
      <c r="AD8" s="30"/>
      <c r="AE8" s="30"/>
      <c r="AF8" s="30"/>
      <c r="AG8" s="30"/>
      <c r="AH8" s="31">
        <f>SUMPRODUCT(--(Janvier[[#This Row],[1]:[31]]=LEFT(Janvier[[#Headers],[Travaillé]],1)))</f>
        <v>0</v>
      </c>
      <c r="AI8" s="31"/>
      <c r="AJ8" s="31"/>
      <c r="AK8" s="35"/>
    </row>
    <row r="9" spans="1:37" ht="30" customHeight="1">
      <c r="B9" s="34" t="s">
        <v>70</v>
      </c>
      <c r="C9" s="30"/>
      <c r="D9" s="30"/>
      <c r="E9" s="30"/>
      <c r="F9" s="30"/>
      <c r="G9" s="30"/>
      <c r="H9" s="30"/>
      <c r="I9" s="30"/>
      <c r="J9" s="30"/>
      <c r="K9" s="30"/>
      <c r="L9" s="30"/>
      <c r="M9" s="30"/>
      <c r="N9" s="30"/>
      <c r="O9" s="30"/>
      <c r="P9" s="30"/>
      <c r="Q9" s="30"/>
      <c r="R9" s="30"/>
      <c r="S9" s="30"/>
      <c r="T9" s="30"/>
      <c r="U9" s="30"/>
      <c r="V9" s="30"/>
      <c r="W9" s="30"/>
      <c r="X9" s="30"/>
      <c r="Y9" s="30"/>
      <c r="Z9" s="30"/>
      <c r="AA9" s="30"/>
      <c r="AB9" s="30"/>
      <c r="AC9" s="30"/>
      <c r="AD9" s="30"/>
      <c r="AE9" s="30"/>
      <c r="AF9" s="30"/>
      <c r="AG9" s="30"/>
      <c r="AH9" s="31">
        <f>SUMPRODUCT(--(Janvier[[#This Row],[1]:[31]]=LEFT(Janvier[[#Headers],[Travaillé]],1)))</f>
        <v>0</v>
      </c>
      <c r="AI9" s="31"/>
      <c r="AJ9" s="31"/>
      <c r="AK9" s="35"/>
    </row>
    <row r="10" spans="1:37" ht="30" customHeight="1">
      <c r="B10" s="34" t="s">
        <v>6</v>
      </c>
      <c r="C10" s="30"/>
      <c r="D10" s="30"/>
      <c r="E10" s="30"/>
      <c r="F10" s="30"/>
      <c r="G10" s="30"/>
      <c r="H10" s="30"/>
      <c r="I10" s="30"/>
      <c r="J10" s="30"/>
      <c r="K10" s="30"/>
      <c r="L10" s="30"/>
      <c r="M10" s="30"/>
      <c r="N10" s="30"/>
      <c r="O10" s="30"/>
      <c r="P10" s="30"/>
      <c r="Q10" s="30"/>
      <c r="R10" s="30"/>
      <c r="S10" s="30"/>
      <c r="T10" s="30"/>
      <c r="U10" s="30"/>
      <c r="V10" s="30"/>
      <c r="W10" s="30"/>
      <c r="X10" s="30"/>
      <c r="Y10" s="30"/>
      <c r="Z10" s="30"/>
      <c r="AA10" s="30"/>
      <c r="AB10" s="30"/>
      <c r="AC10" s="30"/>
      <c r="AD10" s="30"/>
      <c r="AE10" s="30"/>
      <c r="AF10" s="30"/>
      <c r="AG10" s="30"/>
      <c r="AH10" s="31">
        <f>SUMPRODUCT(--(Janvier[[#This Row],[1]:[31]]=LEFT(Janvier[[#Headers],[Travaillé]],1)))</f>
        <v>0</v>
      </c>
      <c r="AI10" s="31"/>
      <c r="AJ10" s="31"/>
      <c r="AK10" s="35"/>
    </row>
    <row r="11" spans="1:37" ht="30" customHeight="1">
      <c r="B11" s="42" t="s">
        <v>7</v>
      </c>
      <c r="C11" s="45"/>
      <c r="D11" s="45"/>
      <c r="E11" s="45"/>
      <c r="F11" s="45"/>
      <c r="G11" s="45"/>
      <c r="H11" s="45"/>
      <c r="I11" s="45"/>
      <c r="J11" s="45"/>
      <c r="K11" s="45"/>
      <c r="L11" s="45"/>
      <c r="M11" s="45"/>
      <c r="N11" s="45"/>
      <c r="O11" s="45"/>
      <c r="P11" s="45"/>
      <c r="Q11" s="45"/>
      <c r="R11" s="45"/>
      <c r="S11" s="45"/>
      <c r="T11" s="45"/>
      <c r="U11" s="45"/>
      <c r="V11" s="45"/>
      <c r="W11" s="45"/>
      <c r="X11" s="45"/>
      <c r="Y11" s="45"/>
      <c r="Z11" s="45"/>
      <c r="AA11" s="45"/>
      <c r="AB11" s="45"/>
      <c r="AC11" s="45"/>
      <c r="AD11" s="45"/>
      <c r="AE11" s="45"/>
      <c r="AF11" s="45"/>
      <c r="AG11" s="45"/>
      <c r="AH11" s="43">
        <f>SUMPRODUCT(--(Janvier[[#This Row],[1]:[31]]=LEFT(Janvier[[#Headers],[Travaillé]],1)))</f>
        <v>0</v>
      </c>
      <c r="AI11" s="43"/>
      <c r="AJ11" s="43"/>
      <c r="AK11" s="44"/>
    </row>
    <row r="12" spans="1:37" s="49" customFormat="1" ht="13.15" customHeight="1" thickBot="1">
      <c r="A12" s="46"/>
      <c r="B12" s="47"/>
      <c r="C12" s="46"/>
      <c r="D12" s="46"/>
      <c r="E12" s="46"/>
      <c r="F12" s="46"/>
      <c r="G12" s="46"/>
      <c r="H12" s="46"/>
      <c r="I12" s="46"/>
      <c r="J12" s="46"/>
      <c r="K12" s="46"/>
      <c r="L12" s="46"/>
      <c r="M12" s="46"/>
      <c r="N12" s="46"/>
      <c r="O12" s="46"/>
      <c r="P12" s="46"/>
      <c r="Q12" s="46"/>
      <c r="R12" s="46"/>
      <c r="S12" s="46"/>
      <c r="T12" s="46"/>
      <c r="U12" s="46"/>
      <c r="V12" s="46"/>
      <c r="W12" s="46"/>
      <c r="X12" s="46"/>
      <c r="Y12" s="46"/>
      <c r="Z12" s="46"/>
      <c r="AA12" s="46"/>
      <c r="AB12" s="46"/>
      <c r="AC12" s="46"/>
      <c r="AD12" s="46"/>
      <c r="AE12" s="46"/>
      <c r="AF12" s="46"/>
      <c r="AG12" s="46"/>
      <c r="AH12" s="48" t="s">
        <v>50</v>
      </c>
      <c r="AI12" s="9"/>
      <c r="AJ12" s="9"/>
      <c r="AK12" s="9"/>
    </row>
    <row r="13" spans="1:37" ht="30" customHeight="1" thickBot="1">
      <c r="AB13" s="53" t="s">
        <v>87</v>
      </c>
      <c r="AC13" s="54"/>
      <c r="AD13" s="54"/>
      <c r="AE13" s="54"/>
      <c r="AF13" s="54"/>
      <c r="AG13" s="55"/>
      <c r="AH13" s="52">
        <f>SUM(AH7:AH12)</f>
        <v>2</v>
      </c>
      <c r="AI13" s="50">
        <f t="shared" ref="AI13:AK13" si="0">SUM(AI7:AI12)</f>
        <v>1</v>
      </c>
      <c r="AJ13" s="50">
        <f t="shared" si="0"/>
        <v>2</v>
      </c>
      <c r="AK13" s="51">
        <f t="shared" si="0"/>
        <v>5</v>
      </c>
    </row>
    <row r="15" spans="1:37" ht="30" customHeight="1">
      <c r="B15" s="64" t="s">
        <v>88</v>
      </c>
    </row>
  </sheetData>
  <mergeCells count="9">
    <mergeCell ref="D2:E2"/>
    <mergeCell ref="K2:L2"/>
    <mergeCell ref="N2:O2"/>
    <mergeCell ref="G2:H2"/>
    <mergeCell ref="AB13:AG13"/>
    <mergeCell ref="AH3:AI3"/>
    <mergeCell ref="AH4:AI4"/>
    <mergeCell ref="AJ4:AK4"/>
    <mergeCell ref="C4:AG4"/>
  </mergeCells>
  <conditionalFormatting sqref="C7:AG11">
    <cfRule type="expression" priority="5" stopIfTrue="1">
      <formula>C7=""</formula>
    </cfRule>
    <cfRule type="expression" dxfId="962" priority="10" stopIfTrue="1">
      <formula>C7=CléPersonnalisée2</formula>
    </cfRule>
    <cfRule type="expression" dxfId="961" priority="11" stopIfTrue="1">
      <formula>C7=CléPersonnalisée1</formula>
    </cfRule>
    <cfRule type="expression" dxfId="960" priority="12" stopIfTrue="1">
      <formula>C7=CléMaladie</formula>
    </cfRule>
    <cfRule type="expression" dxfId="959" priority="13" stopIfTrue="1">
      <formula>C7=CléCongés</formula>
    </cfRule>
    <cfRule type="expression" dxfId="958" priority="14" stopIfTrue="1">
      <formula>C7=CléTravail</formula>
    </cfRule>
  </conditionalFormatting>
  <conditionalFormatting sqref="AH8:AH11">
    <cfRule type="dataBar" priority="172">
      <dataBar>
        <cfvo type="num" val="0"/>
        <cfvo type="num" val="31"/>
        <color theme="2" tint="-0.249977111117893"/>
      </dataBar>
      <extLst>
        <ext xmlns:x14="http://schemas.microsoft.com/office/spreadsheetml/2009/9/main" uri="{B025F937-C7B1-47D3-B67F-A62EFF666E3E}">
          <x14:id>{ECCE2C3C-1B01-4700-B60E-DAAAB19A9C1A}</x14:id>
        </ext>
      </extLst>
    </cfRule>
  </conditionalFormatting>
  <conditionalFormatting sqref="AI7:AI11">
    <cfRule type="dataBar" priority="4">
      <dataBar>
        <cfvo type="num" val="0"/>
        <cfvo type="num" val="31"/>
        <color theme="2" tint="-0.249977111117893"/>
      </dataBar>
      <extLst>
        <ext xmlns:x14="http://schemas.microsoft.com/office/spreadsheetml/2009/9/main" uri="{B025F937-C7B1-47D3-B67F-A62EFF666E3E}">
          <x14:id>{4FE2040B-35D1-4091-8961-5036F8E73DD4}</x14:id>
        </ext>
      </extLst>
    </cfRule>
  </conditionalFormatting>
  <conditionalFormatting sqref="AJ7:AK11">
    <cfRule type="dataBar" priority="3">
      <dataBar>
        <cfvo type="num" val="0"/>
        <cfvo type="num" val="31"/>
        <color theme="2" tint="-0.249977111117893"/>
      </dataBar>
      <extLst>
        <ext xmlns:x14="http://schemas.microsoft.com/office/spreadsheetml/2009/9/main" uri="{B025F937-C7B1-47D3-B67F-A62EFF666E3E}">
          <x14:id>{516680D6-7F11-4652-BFD9-40018573E759}</x14:id>
        </ext>
      </extLst>
    </cfRule>
  </conditionalFormatting>
  <conditionalFormatting sqref="AH7:AK7">
    <cfRule type="dataBar" priority="1">
      <dataBar>
        <cfvo type="num" val="0"/>
        <cfvo type="num" val="31"/>
        <color theme="2" tint="-0.249977111117893"/>
      </dataBar>
      <extLst>
        <ext xmlns:x14="http://schemas.microsoft.com/office/spreadsheetml/2009/9/main" uri="{B025F937-C7B1-47D3-B67F-A62EFF666E3E}">
          <x14:id>{4F9786AF-98A6-44F7-8596-ABB623E7521D}</x14:id>
        </ext>
      </extLst>
    </cfRule>
  </conditionalFormatting>
  <dataValidations count="14">
    <dataValidation allowBlank="1" showInputMessage="1" showErrorMessage="1" prompt="Entrez l’année dans cette cellule." sqref="AH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P2"/>
    <dataValidation allowBlank="1" showInputMessage="1" showErrorMessage="1" prompt="Entrez une étiquette pour décrire la clé personnalisée à gauche" sqref="N2 Q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H3"/>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AH8:AH11</xm:sqref>
        </x14:conditionalFormatting>
        <x14:conditionalFormatting xmlns:xm="http://schemas.microsoft.com/office/excel/2006/main">
          <x14:cfRule type="dataBar" id="{4FE2040B-35D1-4091-8961-5036F8E73DD4}">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516680D6-7F11-4652-BFD9-40018573E759}">
            <x14:dataBar minLength="0" maxLength="100">
              <x14:cfvo type="num">
                <xm:f>0</xm:f>
              </x14:cfvo>
              <x14:cfvo type="num">
                <xm:f>31</xm:f>
              </x14:cfvo>
              <x14:negativeFillColor rgb="FFFF0000"/>
              <x14:axisColor rgb="FF000000"/>
            </x14:dataBar>
          </x14:cfRule>
          <xm:sqref>AJ7:AK11</xm:sqref>
        </x14:conditionalFormatting>
        <x14:conditionalFormatting xmlns:xm="http://schemas.microsoft.com/office/excel/2006/main">
          <x14:cfRule type="dataBar" id="{4F9786AF-98A6-44F7-8596-ABB623E7521D}">
            <x14:dataBar minLength="0" maxLength="100">
              <x14:cfvo type="num">
                <xm:f>0</xm:f>
              </x14:cfvo>
              <x14:cfvo type="num">
                <xm:f>31</xm:f>
              </x14:cfvo>
              <x14:negativeFillColor rgb="FFFF0000"/>
              <x14:axisColor rgb="FF000000"/>
            </x14:dataBar>
          </x14:cfRule>
          <xm:sqref>AH7</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B7:B11</xm:sqref>
        </x14:dataValidation>
      </x14:dataValidations>
    </ext>
  </extLst>
</worksheet>
</file>

<file path=xl/worksheets/sheet2.xml><?xml version="1.0" encoding="utf-8"?>
<worksheet xmlns="http://schemas.openxmlformats.org/spreadsheetml/2006/main" xmlns:r="http://schemas.openxmlformats.org/officeDocument/2006/relationships">
  <sheetPr>
    <tabColor theme="2" tint="-0.749992370372631"/>
  </sheetPr>
  <dimension ref="A1:AK13"/>
  <sheetViews>
    <sheetView showGridLines="0" workbookViewId="0">
      <selection activeCell="AH7" sqref="AH7:AK12"/>
    </sheetView>
  </sheetViews>
  <sheetFormatPr baseColWidth="10" defaultColWidth="9.140625" defaultRowHeight="30" customHeight="1"/>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c r="B1" s="13" t="str">
        <f>Titre_Absence_Employé</f>
        <v>Calendrier  des employés</v>
      </c>
    </row>
    <row r="2" spans="2:37" ht="15" customHeight="1">
      <c r="B2" s="17" t="s">
        <v>0</v>
      </c>
      <c r="C2" s="4" t="s">
        <v>8</v>
      </c>
      <c r="D2" s="60" t="s">
        <v>11</v>
      </c>
      <c r="E2" s="60"/>
      <c r="F2" s="5" t="s">
        <v>14</v>
      </c>
      <c r="G2" s="60" t="s">
        <v>18</v>
      </c>
      <c r="H2" s="60"/>
      <c r="I2" s="60"/>
      <c r="J2" s="6" t="s">
        <v>16</v>
      </c>
      <c r="K2" s="60" t="s">
        <v>23</v>
      </c>
      <c r="L2" s="60"/>
      <c r="M2" s="7"/>
      <c r="N2" s="60" t="s">
        <v>27</v>
      </c>
      <c r="O2" s="60"/>
      <c r="P2" s="60"/>
      <c r="Q2" s="60"/>
      <c r="R2" s="8"/>
      <c r="S2" s="60" t="s">
        <v>32</v>
      </c>
      <c r="T2" s="60"/>
      <c r="U2" s="60"/>
      <c r="V2" s="60"/>
    </row>
    <row r="3" spans="2:37" ht="15" customHeight="1">
      <c r="B3"/>
    </row>
    <row r="4" spans="2:37" ht="30" customHeight="1">
      <c r="B4" s="21" t="s">
        <v>49</v>
      </c>
      <c r="C4" s="58" t="s">
        <v>9</v>
      </c>
      <c r="D4" s="58"/>
      <c r="E4" s="58"/>
      <c r="F4" s="58"/>
      <c r="G4" s="58"/>
      <c r="H4" s="58"/>
      <c r="I4" s="58"/>
      <c r="J4" s="58"/>
      <c r="K4" s="58"/>
      <c r="L4" s="58"/>
      <c r="M4" s="58"/>
      <c r="N4" s="58"/>
      <c r="O4" s="58"/>
      <c r="P4" s="58"/>
      <c r="Q4" s="58"/>
      <c r="R4" s="58"/>
      <c r="S4" s="58"/>
      <c r="T4" s="58"/>
      <c r="U4" s="58"/>
      <c r="V4" s="58"/>
      <c r="W4" s="58"/>
      <c r="X4" s="58"/>
      <c r="Y4" s="58"/>
      <c r="Z4" s="58"/>
      <c r="AA4" s="58"/>
      <c r="AB4" s="58"/>
      <c r="AC4" s="58"/>
      <c r="AD4" s="58"/>
      <c r="AE4" s="58"/>
      <c r="AF4" s="58"/>
      <c r="AG4" s="58"/>
      <c r="AH4" s="21">
        <f>AnnéeCalendrier</f>
        <v>2019</v>
      </c>
      <c r="AI4" s="21"/>
      <c r="AJ4" s="21"/>
      <c r="AK4" s="21"/>
    </row>
    <row r="5" spans="2:37" ht="15" customHeight="1">
      <c r="B5" s="21"/>
      <c r="C5" s="2" t="str">
        <f>TEXT(WEEKDAY(DATE(AnnéeCalendrier,2,1),1),"jjj")</f>
        <v>ven</v>
      </c>
      <c r="D5" s="2" t="str">
        <f>TEXT(WEEKDAY(DATE(AnnéeCalendrier,2,2),1),"jjj")</f>
        <v>sam</v>
      </c>
      <c r="E5" s="2" t="str">
        <f>TEXT(WEEKDAY(DATE(AnnéeCalendrier,2,3),1),"jjj")</f>
        <v>dim</v>
      </c>
      <c r="F5" s="2" t="str">
        <f>TEXT(WEEKDAY(DATE(AnnéeCalendrier,2,4),1),"jjj")</f>
        <v>lun</v>
      </c>
      <c r="G5" s="2" t="str">
        <f>TEXT(WEEKDAY(DATE(AnnéeCalendrier,2,5),1),"jjj")</f>
        <v>mar</v>
      </c>
      <c r="H5" s="2" t="str">
        <f>TEXT(WEEKDAY(DATE(AnnéeCalendrier,2,6),1),"jjj")</f>
        <v>mer</v>
      </c>
      <c r="I5" s="2" t="str">
        <f>TEXT(WEEKDAY(DATE(AnnéeCalendrier,2,7),1),"jjj")</f>
        <v>jeu</v>
      </c>
      <c r="J5" s="2" t="str">
        <f>TEXT(WEEKDAY(DATE(AnnéeCalendrier,2,8),1),"jjj")</f>
        <v>ven</v>
      </c>
      <c r="K5" s="2" t="str">
        <f>TEXT(WEEKDAY(DATE(AnnéeCalendrier,2,9),1),"jjj")</f>
        <v>sam</v>
      </c>
      <c r="L5" s="2" t="str">
        <f>TEXT(WEEKDAY(DATE(AnnéeCalendrier,2,10),1),"jjj")</f>
        <v>dim</v>
      </c>
      <c r="M5" s="2" t="str">
        <f>TEXT(WEEKDAY(DATE(AnnéeCalendrier,2,11),1),"jjj")</f>
        <v>lun</v>
      </c>
      <c r="N5" s="2" t="str">
        <f>TEXT(WEEKDAY(DATE(AnnéeCalendrier,2,12),1),"jjj")</f>
        <v>mar</v>
      </c>
      <c r="O5" s="2" t="str">
        <f>TEXT(WEEKDAY(DATE(AnnéeCalendrier,2,13),1),"jjj")</f>
        <v>mer</v>
      </c>
      <c r="P5" s="2" t="str">
        <f>TEXT(WEEKDAY(DATE(AnnéeCalendrier,2,14),1),"jjj")</f>
        <v>jeu</v>
      </c>
      <c r="Q5" s="2" t="str">
        <f>TEXT(WEEKDAY(DATE(AnnéeCalendrier,2,15),1),"jjj")</f>
        <v>ven</v>
      </c>
      <c r="R5" s="2" t="str">
        <f>TEXT(WEEKDAY(DATE(AnnéeCalendrier,2,16),1),"jjj")</f>
        <v>sam</v>
      </c>
      <c r="S5" s="2" t="str">
        <f>TEXT(WEEKDAY(DATE(AnnéeCalendrier,2,17),1),"jjj")</f>
        <v>dim</v>
      </c>
      <c r="T5" s="2" t="str">
        <f>TEXT(WEEKDAY(DATE(AnnéeCalendrier,2,18),1),"jjj")</f>
        <v>lun</v>
      </c>
      <c r="U5" s="2" t="str">
        <f>TEXT(WEEKDAY(DATE(AnnéeCalendrier,2,19),1),"jjj")</f>
        <v>mar</v>
      </c>
      <c r="V5" s="2" t="str">
        <f>TEXT(WEEKDAY(DATE(AnnéeCalendrier,2,20),1),"jjj")</f>
        <v>mer</v>
      </c>
      <c r="W5" s="2" t="str">
        <f>TEXT(WEEKDAY(DATE(AnnéeCalendrier,2,21),1),"jjj")</f>
        <v>jeu</v>
      </c>
      <c r="X5" s="2" t="str">
        <f>TEXT(WEEKDAY(DATE(AnnéeCalendrier,2,22),1),"jjj")</f>
        <v>ven</v>
      </c>
      <c r="Y5" s="2" t="str">
        <f>TEXT(WEEKDAY(DATE(AnnéeCalendrier,2,23),1),"jjj")</f>
        <v>sam</v>
      </c>
      <c r="Z5" s="2" t="str">
        <f>TEXT(WEEKDAY(DATE(AnnéeCalendrier,2,24),1),"jjj")</f>
        <v>dim</v>
      </c>
      <c r="AA5" s="2" t="str">
        <f>TEXT(WEEKDAY(DATE(AnnéeCalendrier,2,25),1),"jjj")</f>
        <v>lun</v>
      </c>
      <c r="AB5" s="2" t="str">
        <f>TEXT(WEEKDAY(DATE(AnnéeCalendrier,2,26),1),"jjj")</f>
        <v>mar</v>
      </c>
      <c r="AC5" s="2" t="str">
        <f>TEXT(WEEKDAY(DATE(AnnéeCalendrier,2,27),1),"jjj")</f>
        <v>mer</v>
      </c>
      <c r="AD5" s="2" t="str">
        <f>TEXT(WEEKDAY(DATE(AnnéeCalendrier,2,28),1),"jjj")</f>
        <v>jeu</v>
      </c>
      <c r="AE5" s="2" t="str">
        <f>TEXT(WEEKDAY(DATE(AnnéeCalendrier,2,29),1),"jjj")</f>
        <v>ven</v>
      </c>
      <c r="AF5" s="2"/>
      <c r="AG5" s="2"/>
      <c r="AH5" s="21"/>
      <c r="AI5" s="21"/>
      <c r="AJ5" s="21"/>
      <c r="AK5" s="21"/>
    </row>
    <row r="6" spans="2:37" ht="15" customHeight="1">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50</v>
      </c>
      <c r="AG6" s="3" t="s">
        <v>51</v>
      </c>
      <c r="AH6" s="4" t="s">
        <v>64</v>
      </c>
      <c r="AI6" s="7" t="s">
        <v>65</v>
      </c>
      <c r="AJ6" s="6" t="s">
        <v>23</v>
      </c>
      <c r="AK6" s="5" t="s">
        <v>18</v>
      </c>
    </row>
    <row r="7" spans="2:37" ht="30" customHeight="1">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c r="B12" s="22"/>
      <c r="AH12" s="12"/>
      <c r="AI12" s="12"/>
      <c r="AJ12" s="12"/>
      <c r="AK12" s="12"/>
    </row>
    <row r="13" spans="2:37" ht="30" customHeight="1">
      <c r="B13" s="18" t="str">
        <f>NomMois&amp;" Total"</f>
        <v>Février Total</v>
      </c>
      <c r="C13" s="12">
        <f>SUBTOTAL(103,[1])</f>
        <v>0</v>
      </c>
      <c r="D13" s="12">
        <f>SUBTOTAL(103,[2])</f>
        <v>0</v>
      </c>
      <c r="E13" s="12">
        <f>SUBTOTAL(103,[3])</f>
        <v>0</v>
      </c>
      <c r="F13" s="12">
        <f>SUBTOTAL(103,[4])</f>
        <v>0</v>
      </c>
      <c r="G13" s="12">
        <f>SUBTOTAL(103,[5])</f>
        <v>0</v>
      </c>
      <c r="H13" s="12">
        <f>SUBTOTAL(103,[6])</f>
        <v>0</v>
      </c>
      <c r="I13" s="12">
        <f>SUBTOTAL(103,[7])</f>
        <v>0</v>
      </c>
      <c r="J13" s="12">
        <f>SUBTOTAL(103,[8])</f>
        <v>0</v>
      </c>
      <c r="K13" s="12">
        <f>SUBTOTAL(103,[9])</f>
        <v>0</v>
      </c>
      <c r="L13" s="12">
        <f>SUBTOTAL(103,[10])</f>
        <v>0</v>
      </c>
      <c r="M13" s="12">
        <f>SUBTOTAL(103,[11])</f>
        <v>0</v>
      </c>
      <c r="N13" s="12">
        <f>SUBTOTAL(103,[12])</f>
        <v>0</v>
      </c>
      <c r="O13" s="12">
        <f>SUBTOTAL(103,[13])</f>
        <v>0</v>
      </c>
      <c r="P13" s="12">
        <f>SUBTOTAL(103,[14])</f>
        <v>0</v>
      </c>
      <c r="Q13" s="12">
        <f>SUBTOTAL(103,[15])</f>
        <v>0</v>
      </c>
      <c r="R13" s="12">
        <f>SUBTOTAL(103,[16])</f>
        <v>0</v>
      </c>
      <c r="S13" s="12">
        <f>SUBTOTAL(103,[17])</f>
        <v>0</v>
      </c>
      <c r="T13" s="12">
        <f>SUBTOTAL(103,[18])</f>
        <v>0</v>
      </c>
      <c r="U13" s="12">
        <f>SUBTOTAL(103,[19])</f>
        <v>0</v>
      </c>
      <c r="V13" s="12">
        <f>SUBTOTAL(103,[20])</f>
        <v>0</v>
      </c>
      <c r="W13" s="12">
        <f>SUBTOTAL(103,[21])</f>
        <v>0</v>
      </c>
      <c r="X13" s="12">
        <f>SUBTOTAL(103,[22])</f>
        <v>0</v>
      </c>
      <c r="Y13" s="12">
        <f>SUBTOTAL(103,[23])</f>
        <v>0</v>
      </c>
      <c r="Z13" s="12">
        <f>SUBTOTAL(103,[24])</f>
        <v>0</v>
      </c>
      <c r="AA13" s="12">
        <f>SUBTOTAL(103,[25])</f>
        <v>0</v>
      </c>
      <c r="AB13" s="12">
        <f>SUBTOTAL(103,[26])</f>
        <v>0</v>
      </c>
      <c r="AC13" s="12">
        <f>SUBTOTAL(103,[27])</f>
        <v>0</v>
      </c>
      <c r="AD13" s="12">
        <f>SUBTOTAL(103,[28])</f>
        <v>0</v>
      </c>
      <c r="AE13" s="12">
        <f>SUBTOTAL(103,[29])</f>
        <v>0</v>
      </c>
      <c r="AF13" s="12"/>
      <c r="AG13" s="12"/>
      <c r="AH13" s="12">
        <f>SUBTOTAL(109,[Travaillé])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AE6">
    <cfRule type="expression" dxfId="883" priority="19">
      <formula>MONTH(DATE(AnnéeCalendrier,2,29))&lt;&gt;2</formula>
    </cfRule>
  </conditionalFormatting>
  <conditionalFormatting sqref="AE5">
    <cfRule type="expression" dxfId="882" priority="18">
      <formula>MONTH(DATE(AnnéeCalendrier,2,29))&lt;&gt;2</formula>
    </cfRule>
  </conditionalFormatting>
  <conditionalFormatting sqref="C7:AG12">
    <cfRule type="expression" priority="5" stopIfTrue="1">
      <formula>C7=""</formula>
    </cfRule>
    <cfRule type="expression" dxfId="881" priority="6" stopIfTrue="1">
      <formula>C7=CléPersonnalisée2</formula>
    </cfRule>
  </conditionalFormatting>
  <conditionalFormatting sqref="C7:AG12">
    <cfRule type="expression" dxfId="880" priority="8" stopIfTrue="1">
      <formula>C7=CléPersonnalisée1</formula>
    </cfRule>
    <cfRule type="expression" dxfId="879" priority="9" stopIfTrue="1">
      <formula>C7=CléMaladie</formula>
    </cfRule>
    <cfRule type="expression" dxfId="878" priority="10" stopIfTrue="1">
      <formula>C7=CléCongés</formula>
    </cfRule>
    <cfRule type="expression" dxfId="877" priority="11" stopIfTrue="1">
      <formula>C7=CléTravail</formula>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{7F811F00-F02B-49FF-8B0D-7425E3E4C20E}</x14:id>
        </ext>
      </extLst>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{519C4681-CA73-4545-BF00-797E297CC6F0}</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{AA3443F1-A216-4B43-B37E-5519FEB1DA11}</x14:id>
        </ext>
      </extLst>
    </cfRule>
  </conditionalFormatting>
  <dataValidations xWindow="232" yWindow="365" count="13">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février dans cette feuille de calcul" sqref="A1"/>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F811F00-F02B-49FF-8B0D-7425E3E4C20E}">
            <x14:dataBar minLength="0" maxLength="100">
              <x14:cfvo type="num">
                <xm:f>0</xm:f>
              </x14:cfvo>
              <x14:cfvo type="num">
                <xm:f>31</xm:f>
              </x14:cfvo>
              <x14:negativeFillColor rgb="FFFF0000"/>
              <x14:axisColor rgb="FF000000"/>
            </x14:dataBar>
          </x14:cfRule>
          <xm:sqref>AJ7:AK11</xm:sqref>
        </x14:conditionalFormatting>
        <x14:conditionalFormatting xmlns:xm="http://schemas.microsoft.com/office/excel/2006/main">
          <x14:cfRule type="dataBar" id="{519C4681-CA73-4545-BF00-797E297CC6F0}">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AA3443F1-A216-4B43-B37E-5519FEB1DA11}">
            <x14:dataBar minLength="0" maxLength="100">
              <x14:cfvo type="num">
                <xm:f>0</xm:f>
              </x14:cfvo>
              <x14:cfvo type="num">
                <xm:f>31</xm:f>
              </x14:cfvo>
              <x14:negativeFillColor rgb="FFFF0000"/>
              <x14:axisColor rgb="FF000000"/>
            </x14:dataBar>
          </x14:cfRule>
          <xm:sqref>AI7:AI11</xm:sqref>
        </x14:conditionalFormatting>
      </x14:conditionalFormattings>
    </ext>
    <ext xmlns:x14="http://schemas.microsoft.com/office/spreadsheetml/2009/9/main" uri="{CCE6A557-97BC-4b89-ADB6-D9C93CAAB3DF}">
      <x14:dataValidations xmlns:xm="http://schemas.microsoft.com/office/excel/2006/main" xWindow="232" yWindow="365" count="1">
        <x14:dataValidation type="list" allowBlank="1" showInputMessage="1" showErrorMessage="1">
          <x14:formula1>
            <xm:f>'Noms des employés'!$B$4:$B$8</xm:f>
          </x14:formula1>
          <xm:sqref>B7:B12</xm:sqref>
        </x14:dataValidation>
      </x14:dataValidations>
    </ext>
  </extLst>
</worksheet>
</file>

<file path=xl/worksheets/sheet3.xml><?xml version="1.0" encoding="utf-8"?>
<worksheet xmlns="http://schemas.openxmlformats.org/spreadsheetml/2006/main" xmlns:r="http://schemas.openxmlformats.org/officeDocument/2006/relationships">
  <sheetPr>
    <tabColor theme="2" tint="-0.499984740745262"/>
  </sheetPr>
  <dimension ref="A1:AK13"/>
  <sheetViews>
    <sheetView showGridLines="0" topLeftCell="C1" workbookViewId="0">
      <selection activeCell="AH7" sqref="AH7:AK12"/>
    </sheetView>
  </sheetViews>
  <sheetFormatPr baseColWidth="10" defaultColWidth="9.140625" defaultRowHeight="30" customHeight="1"/>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c r="B1" s="13" t="str">
        <f>Titre_Absence_Employé</f>
        <v>Calendrier  des employés</v>
      </c>
    </row>
    <row r="2" spans="2:37" ht="15" customHeight="1">
      <c r="B2" s="17" t="s">
        <v>0</v>
      </c>
      <c r="C2" s="4" t="s">
        <v>8</v>
      </c>
      <c r="D2" s="60" t="s">
        <v>11</v>
      </c>
      <c r="E2" s="60"/>
      <c r="F2" s="5" t="s">
        <v>14</v>
      </c>
      <c r="G2" s="60" t="s">
        <v>18</v>
      </c>
      <c r="H2" s="60"/>
      <c r="I2" s="60"/>
      <c r="J2" s="6" t="s">
        <v>16</v>
      </c>
      <c r="K2" s="60" t="s">
        <v>23</v>
      </c>
      <c r="L2" s="60"/>
      <c r="M2" s="7"/>
      <c r="N2" s="60" t="s">
        <v>27</v>
      </c>
      <c r="O2" s="60"/>
      <c r="P2" s="60"/>
      <c r="Q2" s="60"/>
      <c r="R2" s="8"/>
      <c r="S2" s="60" t="s">
        <v>32</v>
      </c>
      <c r="T2" s="60"/>
      <c r="U2" s="60"/>
      <c r="V2" s="60"/>
    </row>
    <row r="3" spans="2:37" ht="15" customHeight="1">
      <c r="B3" s="13"/>
    </row>
    <row r="4" spans="2:37" ht="30" customHeight="1">
      <c r="B4" s="11" t="s">
        <v>52</v>
      </c>
      <c r="C4" s="58" t="s">
        <v>9</v>
      </c>
      <c r="D4" s="58"/>
      <c r="E4" s="58"/>
      <c r="F4" s="58"/>
      <c r="G4" s="58"/>
      <c r="H4" s="58"/>
      <c r="I4" s="58"/>
      <c r="J4" s="58"/>
      <c r="K4" s="58"/>
      <c r="L4" s="58"/>
      <c r="M4" s="58"/>
      <c r="N4" s="58"/>
      <c r="O4" s="58"/>
      <c r="P4" s="58"/>
      <c r="Q4" s="58"/>
      <c r="R4" s="58"/>
      <c r="S4" s="58"/>
      <c r="T4" s="58"/>
      <c r="U4" s="58"/>
      <c r="V4" s="58"/>
      <c r="W4" s="58"/>
      <c r="X4" s="58"/>
      <c r="Y4" s="58"/>
      <c r="Z4" s="58"/>
      <c r="AA4" s="58"/>
      <c r="AB4" s="58"/>
      <c r="AC4" s="58"/>
      <c r="AD4" s="58"/>
      <c r="AE4" s="58"/>
      <c r="AF4" s="58"/>
      <c r="AG4" s="58"/>
      <c r="AH4" s="11">
        <f>AnnéeCalendrier</f>
        <v>2019</v>
      </c>
      <c r="AI4" s="21"/>
      <c r="AJ4" s="21"/>
      <c r="AK4" s="21"/>
    </row>
    <row r="5" spans="2:37" ht="15" customHeight="1">
      <c r="B5" s="11"/>
      <c r="C5" s="2" t="str">
        <f>TEXT(WEEKDAY(DATE(AnnéeCalendrier,3,1),1),"jjj")</f>
        <v>ven</v>
      </c>
      <c r="D5" s="2" t="str">
        <f>TEXT(WEEKDAY(DATE(AnnéeCalendrier,3,2),1),"jjj")</f>
        <v>sam</v>
      </c>
      <c r="E5" s="2" t="str">
        <f>TEXT(WEEKDAY(DATE(AnnéeCalendrier,3,3),1),"jjj")</f>
        <v>dim</v>
      </c>
      <c r="F5" s="2" t="str">
        <f>TEXT(WEEKDAY(DATE(AnnéeCalendrier,3,4),1),"jjj")</f>
        <v>lun</v>
      </c>
      <c r="G5" s="2" t="str">
        <f>TEXT(WEEKDAY(DATE(AnnéeCalendrier,3,5),1),"jjj")</f>
        <v>mar</v>
      </c>
      <c r="H5" s="2" t="str">
        <f>TEXT(WEEKDAY(DATE(AnnéeCalendrier,3,6),1),"jjj")</f>
        <v>mer</v>
      </c>
      <c r="I5" s="2" t="str">
        <f>TEXT(WEEKDAY(DATE(AnnéeCalendrier,3,7),1),"jjj")</f>
        <v>jeu</v>
      </c>
      <c r="J5" s="2" t="str">
        <f>TEXT(WEEKDAY(DATE(AnnéeCalendrier,3,8),1),"jjj")</f>
        <v>ven</v>
      </c>
      <c r="K5" s="2" t="str">
        <f>TEXT(WEEKDAY(DATE(AnnéeCalendrier,3,9),1),"jjj")</f>
        <v>sam</v>
      </c>
      <c r="L5" s="2" t="str">
        <f>TEXT(WEEKDAY(DATE(AnnéeCalendrier,3,10),1),"jjj")</f>
        <v>dim</v>
      </c>
      <c r="M5" s="2" t="str">
        <f>TEXT(WEEKDAY(DATE(AnnéeCalendrier,3,11),1),"jjj")</f>
        <v>lun</v>
      </c>
      <c r="N5" s="2" t="str">
        <f>TEXT(WEEKDAY(DATE(AnnéeCalendrier,3,12),1),"jjj")</f>
        <v>mar</v>
      </c>
      <c r="O5" s="2" t="str">
        <f>TEXT(WEEKDAY(DATE(AnnéeCalendrier,3,13),1),"jjj")</f>
        <v>mer</v>
      </c>
      <c r="P5" s="2" t="str">
        <f>TEXT(WEEKDAY(DATE(AnnéeCalendrier,3,14),1),"jjj")</f>
        <v>jeu</v>
      </c>
      <c r="Q5" s="2" t="str">
        <f>TEXT(WEEKDAY(DATE(AnnéeCalendrier,3,15),1),"jjj")</f>
        <v>ven</v>
      </c>
      <c r="R5" s="2" t="str">
        <f>TEXT(WEEKDAY(DATE(AnnéeCalendrier,3,16),1),"jjj")</f>
        <v>sam</v>
      </c>
      <c r="S5" s="2" t="str">
        <f>TEXT(WEEKDAY(DATE(AnnéeCalendrier,3,17),1),"jjj")</f>
        <v>dim</v>
      </c>
      <c r="T5" s="2" t="str">
        <f>TEXT(WEEKDAY(DATE(AnnéeCalendrier,3,18),1),"jjj")</f>
        <v>lun</v>
      </c>
      <c r="U5" s="2" t="str">
        <f>TEXT(WEEKDAY(DATE(AnnéeCalendrier,3,19),1),"jjj")</f>
        <v>mar</v>
      </c>
      <c r="V5" s="2" t="str">
        <f>TEXT(WEEKDAY(DATE(AnnéeCalendrier,3,20),1),"jjj")</f>
        <v>mer</v>
      </c>
      <c r="W5" s="2" t="str">
        <f>TEXT(WEEKDAY(DATE(AnnéeCalendrier,3,21),1),"jjj")</f>
        <v>jeu</v>
      </c>
      <c r="X5" s="2" t="str">
        <f>TEXT(WEEKDAY(DATE(AnnéeCalendrier,3,22),1),"jjj")</f>
        <v>ven</v>
      </c>
      <c r="Y5" s="2" t="str">
        <f>TEXT(WEEKDAY(DATE(AnnéeCalendrier,3,23),1),"jjj")</f>
        <v>sam</v>
      </c>
      <c r="Z5" s="2" t="str">
        <f>TEXT(WEEKDAY(DATE(AnnéeCalendrier,3,24),1),"jjj")</f>
        <v>dim</v>
      </c>
      <c r="AA5" s="2" t="str">
        <f>TEXT(WEEKDAY(DATE(AnnéeCalendrier,3,25),1),"jjj")</f>
        <v>lun</v>
      </c>
      <c r="AB5" s="2" t="str">
        <f>TEXT(WEEKDAY(DATE(AnnéeCalendrier,3,26),1),"jjj")</f>
        <v>mar</v>
      </c>
      <c r="AC5" s="2" t="str">
        <f>TEXT(WEEKDAY(DATE(AnnéeCalendrier,3,27),1),"jjj")</f>
        <v>mer</v>
      </c>
      <c r="AD5" s="2" t="str">
        <f>TEXT(WEEKDAY(DATE(AnnéeCalendrier,3,28),1),"jjj")</f>
        <v>jeu</v>
      </c>
      <c r="AE5" s="2" t="str">
        <f>TEXT(WEEKDAY(DATE(AnnéeCalendrier,3,29),1),"jjj")</f>
        <v>ven</v>
      </c>
      <c r="AF5" s="2" t="str">
        <f>TEXT(WEEKDAY(DATE(AnnéeCalendrier,3,30),1),"jjj")</f>
        <v>sam</v>
      </c>
      <c r="AG5" s="2" t="str">
        <f>TEXT(WEEKDAY(DATE(AnnéeCalendrier,3,31),1),"jjj")</f>
        <v>dim</v>
      </c>
      <c r="AH5" s="11"/>
      <c r="AI5" s="21"/>
      <c r="AJ5" s="21"/>
      <c r="AK5" s="21"/>
    </row>
    <row r="6" spans="2:37" ht="15" customHeight="1">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2:37" ht="30" customHeight="1">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c r="B12" s="23"/>
      <c r="AH12" s="12"/>
      <c r="AI12" s="12"/>
      <c r="AJ12" s="12"/>
      <c r="AK12" s="12"/>
    </row>
    <row r="13" spans="2:37" ht="30" customHeight="1">
      <c r="B13" s="18" t="str">
        <f>NomMois&amp;" Total"</f>
        <v>Mars Total</v>
      </c>
      <c r="C13" s="12">
        <f>SUBTOTAL(103,[1])</f>
        <v>0</v>
      </c>
      <c r="D13" s="12">
        <f>SUBTOTAL(103,[2])</f>
        <v>0</v>
      </c>
      <c r="E13" s="12">
        <f>SUBTOTAL(103,[3])</f>
        <v>0</v>
      </c>
      <c r="F13" s="12">
        <f>SUBTOTAL(103,[4])</f>
        <v>0</v>
      </c>
      <c r="G13" s="12">
        <f>SUBTOTAL(103,[5])</f>
        <v>0</v>
      </c>
      <c r="H13" s="12">
        <f>SUBTOTAL(103,[6])</f>
        <v>0</v>
      </c>
      <c r="I13" s="12">
        <f>SUBTOTAL(103,[7])</f>
        <v>0</v>
      </c>
      <c r="J13" s="12">
        <f>SUBTOTAL(103,[8])</f>
        <v>0</v>
      </c>
      <c r="K13" s="12">
        <f>SUBTOTAL(103,[9])</f>
        <v>0</v>
      </c>
      <c r="L13" s="12">
        <f>SUBTOTAL(103,[10])</f>
        <v>0</v>
      </c>
      <c r="M13" s="12">
        <f>SUBTOTAL(103,[11])</f>
        <v>0</v>
      </c>
      <c r="N13" s="12">
        <f>SUBTOTAL(103,[12])</f>
        <v>0</v>
      </c>
      <c r="O13" s="12">
        <f>SUBTOTAL(103,[13])</f>
        <v>0</v>
      </c>
      <c r="P13" s="12">
        <f>SUBTOTAL(103,[14])</f>
        <v>0</v>
      </c>
      <c r="Q13" s="12">
        <f>SUBTOTAL(103,[15])</f>
        <v>0</v>
      </c>
      <c r="R13" s="12">
        <f>SUBTOTAL(103,[16])</f>
        <v>0</v>
      </c>
      <c r="S13" s="12">
        <f>SUBTOTAL(103,[17])</f>
        <v>0</v>
      </c>
      <c r="T13" s="12">
        <f>SUBTOTAL(103,[18])</f>
        <v>0</v>
      </c>
      <c r="U13" s="12">
        <f>SUBTOTAL(103,[19])</f>
        <v>0</v>
      </c>
      <c r="V13" s="12">
        <f>SUBTOTAL(103,[20])</f>
        <v>0</v>
      </c>
      <c r="W13" s="12">
        <f>SUBTOTAL(103,[21])</f>
        <v>0</v>
      </c>
      <c r="X13" s="12">
        <f>SUBTOTAL(103,[22])</f>
        <v>0</v>
      </c>
      <c r="Y13" s="12">
        <f>SUBTOTAL(103,[23])</f>
        <v>0</v>
      </c>
      <c r="Z13" s="12">
        <f>SUBTOTAL(103,[24])</f>
        <v>0</v>
      </c>
      <c r="AA13" s="12">
        <f>SUBTOTAL(103,[25])</f>
        <v>0</v>
      </c>
      <c r="AB13" s="12">
        <f>SUBTOTAL(103,[26])</f>
        <v>0</v>
      </c>
      <c r="AC13" s="12">
        <f>SUBTOTAL(103,[27])</f>
        <v>0</v>
      </c>
      <c r="AD13" s="12">
        <f>SUBTOTAL(103,[28])</f>
        <v>0</v>
      </c>
      <c r="AE13" s="12">
        <f>SUBTOTAL(103,[29])</f>
        <v>0</v>
      </c>
      <c r="AF13" s="12">
        <f>SUBTOTAL(103,[30])</f>
        <v>0</v>
      </c>
      <c r="AG13" s="12">
        <f>SUBTOTAL(103,[31])</f>
        <v>0</v>
      </c>
      <c r="AH13" s="12">
        <f>SUBTOTAL(109,[Travaillé])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801" priority="5" stopIfTrue="1">
      <formula>C7=CléPersonnalisée2</formula>
    </cfRule>
    <cfRule type="expression" dxfId="800" priority="6" stopIfTrue="1">
      <formula>C7=CléPersonnalisée1</formula>
    </cfRule>
    <cfRule type="expression" dxfId="799" priority="7" stopIfTrue="1">
      <formula>C7=CléMaladie</formula>
    </cfRule>
    <cfRule type="expression" dxfId="798" priority="8" stopIfTrue="1">
      <formula>C7=CléCongés</formula>
    </cfRule>
    <cfRule type="expression" dxfId="797"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{6035BC01-C75C-4E6E-A371-EDCA9BCF56B6}</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{4836E415-8AF1-4CC7-A52E-138C6EF922D6}</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{DF968660-AFCD-4D55-900D-E2D72431B853}</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rs dans cette feuille de calcul" sqref="A1"/>
    <dataValidation allowBlank="1" showInputMessage="1" showErrorMessage="1" prompt="Année mise à jour automatiquement en fonction de l’année entrée dans la feuille de calcul Janvier" sqref="AH4"/>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6035BC01-C75C-4E6E-A371-EDCA9BCF56B6}">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4836E415-8AF1-4CC7-A52E-138C6EF922D6}">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DF968660-AFCD-4D55-900D-E2D72431B853}">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4.xml><?xml version="1.0" encoding="utf-8"?>
<worksheet xmlns="http://schemas.openxmlformats.org/spreadsheetml/2006/main" xmlns:r="http://schemas.openxmlformats.org/officeDocument/2006/relationships">
  <sheetPr>
    <tabColor theme="2" tint="-0.249977111117893"/>
  </sheetPr>
  <dimension ref="A1:AK13"/>
  <sheetViews>
    <sheetView showGridLines="0" workbookViewId="0">
      <selection activeCell="AH7" sqref="AH7:AK12"/>
    </sheetView>
  </sheetViews>
  <sheetFormatPr baseColWidth="10" defaultColWidth="9.140625" defaultRowHeight="30" customHeight="1"/>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c r="B1" s="13" t="str">
        <f>Titre_Absence_Employé</f>
        <v>Calendrier  des employés</v>
      </c>
    </row>
    <row r="2" spans="2:37" ht="15" customHeight="1">
      <c r="B2" s="17" t="s">
        <v>0</v>
      </c>
      <c r="C2" s="4" t="s">
        <v>8</v>
      </c>
      <c r="D2" s="60" t="s">
        <v>11</v>
      </c>
      <c r="E2" s="60"/>
      <c r="F2" s="5" t="s">
        <v>14</v>
      </c>
      <c r="G2" s="60" t="s">
        <v>18</v>
      </c>
      <c r="H2" s="60"/>
      <c r="I2" s="60"/>
      <c r="J2" s="6" t="s">
        <v>16</v>
      </c>
      <c r="K2" s="60" t="s">
        <v>23</v>
      </c>
      <c r="L2" s="60"/>
      <c r="M2" s="7"/>
      <c r="N2" s="60" t="s">
        <v>27</v>
      </c>
      <c r="O2" s="60"/>
      <c r="P2" s="60"/>
      <c r="Q2" s="60"/>
      <c r="R2" s="8"/>
      <c r="S2" s="60" t="s">
        <v>32</v>
      </c>
      <c r="T2" s="60"/>
      <c r="U2" s="60"/>
      <c r="V2" s="60"/>
    </row>
    <row r="3" spans="2:37" ht="15" customHeight="1">
      <c r="B3" s="13"/>
    </row>
    <row r="4" spans="2:37" ht="30" customHeight="1">
      <c r="B4" s="11" t="s">
        <v>53</v>
      </c>
      <c r="C4" s="58" t="s">
        <v>9</v>
      </c>
      <c r="D4" s="58"/>
      <c r="E4" s="58"/>
      <c r="F4" s="58"/>
      <c r="G4" s="58"/>
      <c r="H4" s="58"/>
      <c r="I4" s="58"/>
      <c r="J4" s="58"/>
      <c r="K4" s="58"/>
      <c r="L4" s="58"/>
      <c r="M4" s="58"/>
      <c r="N4" s="58"/>
      <c r="O4" s="58"/>
      <c r="P4" s="58"/>
      <c r="Q4" s="58"/>
      <c r="R4" s="58"/>
      <c r="S4" s="58"/>
      <c r="T4" s="58"/>
      <c r="U4" s="58"/>
      <c r="V4" s="58"/>
      <c r="W4" s="58"/>
      <c r="X4" s="58"/>
      <c r="Y4" s="58"/>
      <c r="Z4" s="58"/>
      <c r="AA4" s="58"/>
      <c r="AB4" s="58"/>
      <c r="AC4" s="58"/>
      <c r="AD4" s="58"/>
      <c r="AE4" s="58"/>
      <c r="AF4" s="58"/>
      <c r="AG4" s="58"/>
      <c r="AH4" s="11">
        <f>AnnéeCalendrier</f>
        <v>2019</v>
      </c>
      <c r="AI4" s="21"/>
      <c r="AJ4" s="21"/>
      <c r="AK4" s="21"/>
    </row>
    <row r="5" spans="2:37" ht="15" customHeight="1">
      <c r="B5" s="11"/>
      <c r="C5" s="2" t="str">
        <f>TEXT(WEEKDAY(DATE(AnnéeCalendrier,4,1),1),"jjj")</f>
        <v>lun</v>
      </c>
      <c r="D5" s="2" t="str">
        <f>TEXT(WEEKDAY(DATE(AnnéeCalendrier,4,2),1),"jjj")</f>
        <v>mar</v>
      </c>
      <c r="E5" s="2" t="str">
        <f>TEXT(WEEKDAY(DATE(AnnéeCalendrier,4,3),1),"jjj")</f>
        <v>mer</v>
      </c>
      <c r="F5" s="2" t="str">
        <f>TEXT(WEEKDAY(DATE(AnnéeCalendrier,4,4),1),"jjj")</f>
        <v>jeu</v>
      </c>
      <c r="G5" s="2" t="str">
        <f>TEXT(WEEKDAY(DATE(AnnéeCalendrier,4,5),1),"jjj")</f>
        <v>ven</v>
      </c>
      <c r="H5" s="2" t="str">
        <f>TEXT(WEEKDAY(DATE(AnnéeCalendrier,4,6),1),"jjj")</f>
        <v>sam</v>
      </c>
      <c r="I5" s="2" t="str">
        <f>TEXT(WEEKDAY(DATE(AnnéeCalendrier,4,7),1),"jjj")</f>
        <v>dim</v>
      </c>
      <c r="J5" s="2" t="str">
        <f>TEXT(WEEKDAY(DATE(AnnéeCalendrier,4,8),1),"jjj")</f>
        <v>lun</v>
      </c>
      <c r="K5" s="2" t="str">
        <f>TEXT(WEEKDAY(DATE(AnnéeCalendrier,4,9),1),"jjj")</f>
        <v>mar</v>
      </c>
      <c r="L5" s="2" t="str">
        <f>TEXT(WEEKDAY(DATE(AnnéeCalendrier,4,10),1),"jjj")</f>
        <v>mer</v>
      </c>
      <c r="M5" s="2" t="str">
        <f>TEXT(WEEKDAY(DATE(AnnéeCalendrier,4,11),1),"jjj")</f>
        <v>jeu</v>
      </c>
      <c r="N5" s="2" t="str">
        <f>TEXT(WEEKDAY(DATE(AnnéeCalendrier,4,12),1),"jjj")</f>
        <v>ven</v>
      </c>
      <c r="O5" s="2" t="str">
        <f>TEXT(WEEKDAY(DATE(AnnéeCalendrier,4,13),1),"jjj")</f>
        <v>sam</v>
      </c>
      <c r="P5" s="2" t="str">
        <f>TEXT(WEEKDAY(DATE(AnnéeCalendrier,4,14),1),"jjj")</f>
        <v>dim</v>
      </c>
      <c r="Q5" s="2" t="str">
        <f>TEXT(WEEKDAY(DATE(AnnéeCalendrier,4,15),1),"jjj")</f>
        <v>lun</v>
      </c>
      <c r="R5" s="2" t="str">
        <f>TEXT(WEEKDAY(DATE(AnnéeCalendrier,4,16),1),"jjj")</f>
        <v>mar</v>
      </c>
      <c r="S5" s="2" t="str">
        <f>TEXT(WEEKDAY(DATE(AnnéeCalendrier,4,17),1),"jjj")</f>
        <v>mer</v>
      </c>
      <c r="T5" s="2" t="str">
        <f>TEXT(WEEKDAY(DATE(AnnéeCalendrier,4,18),1),"jjj")</f>
        <v>jeu</v>
      </c>
      <c r="U5" s="2" t="str">
        <f>TEXT(WEEKDAY(DATE(AnnéeCalendrier,4,19),1),"jjj")</f>
        <v>ven</v>
      </c>
      <c r="V5" s="2" t="str">
        <f>TEXT(WEEKDAY(DATE(AnnéeCalendrier,4,20),1),"jjj")</f>
        <v>sam</v>
      </c>
      <c r="W5" s="2" t="str">
        <f>TEXT(WEEKDAY(DATE(AnnéeCalendrier,4,21),1),"jjj")</f>
        <v>dim</v>
      </c>
      <c r="X5" s="2" t="str">
        <f>TEXT(WEEKDAY(DATE(AnnéeCalendrier,4,22),1),"jjj")</f>
        <v>lun</v>
      </c>
      <c r="Y5" s="2" t="str">
        <f>TEXT(WEEKDAY(DATE(AnnéeCalendrier,4,23),1),"jjj")</f>
        <v>mar</v>
      </c>
      <c r="Z5" s="2" t="str">
        <f>TEXT(WEEKDAY(DATE(AnnéeCalendrier,4,24),1),"jjj")</f>
        <v>mer</v>
      </c>
      <c r="AA5" s="2" t="str">
        <f>TEXT(WEEKDAY(DATE(AnnéeCalendrier,4,25),1),"jjj")</f>
        <v>jeu</v>
      </c>
      <c r="AB5" s="2" t="str">
        <f>TEXT(WEEKDAY(DATE(AnnéeCalendrier,4,26),1),"jjj")</f>
        <v>ven</v>
      </c>
      <c r="AC5" s="2" t="str">
        <f>TEXT(WEEKDAY(DATE(AnnéeCalendrier,4,27),1),"jjj")</f>
        <v>sam</v>
      </c>
      <c r="AD5" s="2" t="str">
        <f>TEXT(WEEKDAY(DATE(AnnéeCalendrier,4,28),1),"jjj")</f>
        <v>dim</v>
      </c>
      <c r="AE5" s="2" t="str">
        <f>TEXT(WEEKDAY(DATE(AnnéeCalendrier,4,29),1),"jjj")</f>
        <v>lun</v>
      </c>
      <c r="AF5" s="2" t="str">
        <f>TEXT(WEEKDAY(DATE(AnnéeCalendrier,4,30),1),"jjj")</f>
        <v>mar</v>
      </c>
      <c r="AG5" s="2"/>
      <c r="AH5" s="11"/>
      <c r="AI5" s="21"/>
      <c r="AJ5" s="21"/>
      <c r="AK5" s="21"/>
    </row>
    <row r="6" spans="2:37" ht="15" customHeight="1">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20" t="s">
        <v>50</v>
      </c>
      <c r="AH6" s="4" t="s">
        <v>64</v>
      </c>
      <c r="AI6" s="7" t="s">
        <v>65</v>
      </c>
      <c r="AJ6" s="6" t="s">
        <v>23</v>
      </c>
      <c r="AK6" s="5" t="s">
        <v>18</v>
      </c>
    </row>
    <row r="7" spans="2:37" ht="30" customHeight="1">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c r="B12" s="23"/>
      <c r="AH12" s="12"/>
      <c r="AI12" s="12"/>
      <c r="AJ12" s="12"/>
      <c r="AK12" s="12"/>
    </row>
    <row r="13" spans="2:37" ht="30" customHeight="1">
      <c r="B13" s="18" t="str">
        <f>NomMois&amp;" Total"</f>
        <v>Avril Total</v>
      </c>
      <c r="C13" s="12">
        <f>SUBTOTAL(103,[1])</f>
        <v>0</v>
      </c>
      <c r="D13" s="12">
        <f>SUBTOTAL(103,[2])</f>
        <v>0</v>
      </c>
      <c r="E13" s="12">
        <f>SUBTOTAL(103,[3])</f>
        <v>0</v>
      </c>
      <c r="F13" s="12">
        <f>SUBTOTAL(103,[4])</f>
        <v>0</v>
      </c>
      <c r="G13" s="12">
        <f>SUBTOTAL(103,[5])</f>
        <v>0</v>
      </c>
      <c r="H13" s="12">
        <f>SUBTOTAL(103,[6])</f>
        <v>0</v>
      </c>
      <c r="I13" s="12">
        <f>SUBTOTAL(103,[7])</f>
        <v>0</v>
      </c>
      <c r="J13" s="12">
        <f>SUBTOTAL(103,[8])</f>
        <v>0</v>
      </c>
      <c r="K13" s="12">
        <f>SUBTOTAL(103,[9])</f>
        <v>0</v>
      </c>
      <c r="L13" s="12">
        <f>SUBTOTAL(103,[10])</f>
        <v>0</v>
      </c>
      <c r="M13" s="12">
        <f>SUBTOTAL(103,[11])</f>
        <v>0</v>
      </c>
      <c r="N13" s="12">
        <f>SUBTOTAL(103,[12])</f>
        <v>0</v>
      </c>
      <c r="O13" s="12">
        <f>SUBTOTAL(103,[13])</f>
        <v>0</v>
      </c>
      <c r="P13" s="12">
        <f>SUBTOTAL(103,[14])</f>
        <v>0</v>
      </c>
      <c r="Q13" s="12">
        <f>SUBTOTAL(103,[15])</f>
        <v>0</v>
      </c>
      <c r="R13" s="12">
        <f>SUBTOTAL(103,[16])</f>
        <v>0</v>
      </c>
      <c r="S13" s="12">
        <f>SUBTOTAL(103,[17])</f>
        <v>0</v>
      </c>
      <c r="T13" s="12">
        <f>SUBTOTAL(103,[18])</f>
        <v>0</v>
      </c>
      <c r="U13" s="12">
        <f>SUBTOTAL(103,[19])</f>
        <v>0</v>
      </c>
      <c r="V13" s="12">
        <f>SUBTOTAL(103,[20])</f>
        <v>0</v>
      </c>
      <c r="W13" s="12">
        <f>SUBTOTAL(103,[21])</f>
        <v>0</v>
      </c>
      <c r="X13" s="12">
        <f>SUBTOTAL(103,[22])</f>
        <v>0</v>
      </c>
      <c r="Y13" s="12">
        <f>SUBTOTAL(103,[23])</f>
        <v>0</v>
      </c>
      <c r="Z13" s="12">
        <f>SUBTOTAL(103,[24])</f>
        <v>0</v>
      </c>
      <c r="AA13" s="12">
        <f>SUBTOTAL(103,[25])</f>
        <v>0</v>
      </c>
      <c r="AB13" s="12">
        <f>SUBTOTAL(103,[26])</f>
        <v>0</v>
      </c>
      <c r="AC13" s="12">
        <f>SUBTOTAL(103,[27])</f>
        <v>0</v>
      </c>
      <c r="AD13" s="12">
        <f>SUBTOTAL(103,[28])</f>
        <v>0</v>
      </c>
      <c r="AE13" s="12">
        <f>SUBTOTAL(103,[29])</f>
        <v>0</v>
      </c>
      <c r="AF13" s="12">
        <f>SUBTOTAL(103,[30])</f>
        <v>0</v>
      </c>
      <c r="AG13" s="12">
        <f>SUBTOTAL(103,[30])</f>
        <v>0</v>
      </c>
      <c r="AH13" s="12">
        <f>SUBTOTAL(109,[Travaillé])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721" priority="5" stopIfTrue="1">
      <formula>C7=CléPersonnalisée2</formula>
    </cfRule>
    <cfRule type="expression" dxfId="720" priority="6" stopIfTrue="1">
      <formula>C7=CléPersonnalisée1</formula>
    </cfRule>
    <cfRule type="expression" dxfId="719" priority="7" stopIfTrue="1">
      <formula>C7=CléMaladie</formula>
    </cfRule>
    <cfRule type="expression" dxfId="718" priority="8" stopIfTrue="1">
      <formula>C7=CléCongés</formula>
    </cfRule>
    <cfRule type="expression" dxfId="717"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{C872E5A8-82E9-46B6-A583-384028B07ED5}</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{7E558BFA-C9EF-4773-B87C-70106E99F957}</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{31464247-1E86-47FC-B12D-8EC3976294C4}</x14:id>
        </ext>
      </extLst>
    </cfRule>
  </conditionalFormatting>
  <dataValidations count="13">
    <dataValidation allowBlank="1" showInputMessage="1" showErrorMessage="1" prompt="Année mise à jour automatiquement en fonction de l’année entrée dans la feuille de calcul Janvier" sqref="AH4"/>
    <dataValidation allowBlank="1" showInputMessage="1" showErrorMessage="1" prompt="Suivez les absences du mois d’avril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C872E5A8-82E9-46B6-A583-384028B07ED5}">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7E558BFA-C9EF-4773-B87C-70106E99F957}">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31464247-1E86-47FC-B12D-8EC3976294C4}">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5.xml><?xml version="1.0" encoding="utf-8"?>
<worksheet xmlns="http://schemas.openxmlformats.org/spreadsheetml/2006/main" xmlns:r="http://schemas.openxmlformats.org/officeDocument/2006/relationships">
  <sheetPr>
    <tabColor theme="2" tint="-9.9978637043366805E-2"/>
  </sheetPr>
  <dimension ref="A1:AK13"/>
  <sheetViews>
    <sheetView showGridLines="0" topLeftCell="C1" workbookViewId="0">
      <selection activeCell="AH7" sqref="AH7:AK12"/>
    </sheetView>
  </sheetViews>
  <sheetFormatPr baseColWidth="10" defaultColWidth="9.140625" defaultRowHeight="30" customHeight="1"/>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c r="B1" s="13" t="str">
        <f>Titre_Absence_Employé</f>
        <v>Calendrier  des employés</v>
      </c>
    </row>
    <row r="2" spans="2:37" ht="15" customHeight="1">
      <c r="B2" s="17" t="s">
        <v>0</v>
      </c>
      <c r="C2" s="4" t="s">
        <v>8</v>
      </c>
      <c r="D2" s="60" t="s">
        <v>11</v>
      </c>
      <c r="E2" s="60"/>
      <c r="F2" s="5" t="s">
        <v>14</v>
      </c>
      <c r="G2" s="60" t="s">
        <v>18</v>
      </c>
      <c r="H2" s="60"/>
      <c r="I2" s="60"/>
      <c r="J2" s="6" t="s">
        <v>16</v>
      </c>
      <c r="K2" s="60" t="s">
        <v>23</v>
      </c>
      <c r="L2" s="60"/>
      <c r="M2" s="7"/>
      <c r="N2" s="60" t="s">
        <v>27</v>
      </c>
      <c r="O2" s="60"/>
      <c r="P2" s="60"/>
      <c r="Q2" s="60"/>
      <c r="R2" s="8"/>
      <c r="S2" s="60" t="s">
        <v>32</v>
      </c>
      <c r="T2" s="60"/>
      <c r="U2" s="60"/>
      <c r="V2" s="60"/>
    </row>
    <row r="3" spans="2:37" ht="15" customHeight="1">
      <c r="B3" s="13"/>
    </row>
    <row r="4" spans="2:37" ht="30" customHeight="1">
      <c r="B4" s="11" t="s">
        <v>54</v>
      </c>
      <c r="C4" s="58" t="s">
        <v>9</v>
      </c>
      <c r="D4" s="58"/>
      <c r="E4" s="58"/>
      <c r="F4" s="58"/>
      <c r="G4" s="58"/>
      <c r="H4" s="58"/>
      <c r="I4" s="58"/>
      <c r="J4" s="58"/>
      <c r="K4" s="58"/>
      <c r="L4" s="58"/>
      <c r="M4" s="58"/>
      <c r="N4" s="58"/>
      <c r="O4" s="58"/>
      <c r="P4" s="58"/>
      <c r="Q4" s="58"/>
      <c r="R4" s="58"/>
      <c r="S4" s="58"/>
      <c r="T4" s="58"/>
      <c r="U4" s="58"/>
      <c r="V4" s="58"/>
      <c r="W4" s="58"/>
      <c r="X4" s="58"/>
      <c r="Y4" s="58"/>
      <c r="Z4" s="58"/>
      <c r="AA4" s="58"/>
      <c r="AB4" s="58"/>
      <c r="AC4" s="58"/>
      <c r="AD4" s="58"/>
      <c r="AE4" s="58"/>
      <c r="AF4" s="58"/>
      <c r="AG4" s="58"/>
      <c r="AH4" s="11">
        <f>AnnéeCalendrier</f>
        <v>2019</v>
      </c>
      <c r="AI4" s="21"/>
      <c r="AJ4" s="21"/>
      <c r="AK4" s="21"/>
    </row>
    <row r="5" spans="2:37" ht="15" customHeight="1">
      <c r="B5" s="11"/>
      <c r="C5" s="2" t="str">
        <f>TEXT(WEEKDAY(DATE(AnnéeCalendrier,5,1),1),"jjj")</f>
        <v>mer</v>
      </c>
      <c r="D5" s="2" t="str">
        <f>TEXT(WEEKDAY(DATE(AnnéeCalendrier,5,2),1),"jjj")</f>
        <v>jeu</v>
      </c>
      <c r="E5" s="2" t="str">
        <f>TEXT(WEEKDAY(DATE(AnnéeCalendrier,5,3),1),"jjj")</f>
        <v>ven</v>
      </c>
      <c r="F5" s="2" t="str">
        <f>TEXT(WEEKDAY(DATE(AnnéeCalendrier,5,4),1),"jjj")</f>
        <v>sam</v>
      </c>
      <c r="G5" s="2" t="str">
        <f>TEXT(WEEKDAY(DATE(AnnéeCalendrier,5,5),1),"jjj")</f>
        <v>dim</v>
      </c>
      <c r="H5" s="2" t="str">
        <f>TEXT(WEEKDAY(DATE(AnnéeCalendrier,5,6),1),"jjj")</f>
        <v>lun</v>
      </c>
      <c r="I5" s="2" t="str">
        <f>TEXT(WEEKDAY(DATE(AnnéeCalendrier,5,7),1),"jjj")</f>
        <v>mar</v>
      </c>
      <c r="J5" s="2" t="str">
        <f>TEXT(WEEKDAY(DATE(AnnéeCalendrier,5,8),1),"jjj")</f>
        <v>mer</v>
      </c>
      <c r="K5" s="2" t="str">
        <f>TEXT(WEEKDAY(DATE(AnnéeCalendrier,5,9),1),"jjj")</f>
        <v>jeu</v>
      </c>
      <c r="L5" s="2" t="str">
        <f>TEXT(WEEKDAY(DATE(AnnéeCalendrier,5,10),1),"jjj")</f>
        <v>ven</v>
      </c>
      <c r="M5" s="2" t="str">
        <f>TEXT(WEEKDAY(DATE(AnnéeCalendrier,5,11),1),"jjj")</f>
        <v>sam</v>
      </c>
      <c r="N5" s="2" t="str">
        <f>TEXT(WEEKDAY(DATE(AnnéeCalendrier,5,12),1),"jjj")</f>
        <v>dim</v>
      </c>
      <c r="O5" s="2" t="str">
        <f>TEXT(WEEKDAY(DATE(AnnéeCalendrier,5,13),1),"jjj")</f>
        <v>lun</v>
      </c>
      <c r="P5" s="2" t="str">
        <f>TEXT(WEEKDAY(DATE(AnnéeCalendrier,5,14),1),"jjj")</f>
        <v>mar</v>
      </c>
      <c r="Q5" s="2" t="str">
        <f>TEXT(WEEKDAY(DATE(AnnéeCalendrier,5,15),1),"jjj")</f>
        <v>mer</v>
      </c>
      <c r="R5" s="2" t="str">
        <f>TEXT(WEEKDAY(DATE(AnnéeCalendrier,5,16),1),"jjj")</f>
        <v>jeu</v>
      </c>
      <c r="S5" s="2" t="str">
        <f>TEXT(WEEKDAY(DATE(AnnéeCalendrier,5,17),1),"jjj")</f>
        <v>ven</v>
      </c>
      <c r="T5" s="2" t="str">
        <f>TEXT(WEEKDAY(DATE(AnnéeCalendrier,5,18),1),"jjj")</f>
        <v>sam</v>
      </c>
      <c r="U5" s="2" t="str">
        <f>TEXT(WEEKDAY(DATE(AnnéeCalendrier,5,19),1),"jjj")</f>
        <v>dim</v>
      </c>
      <c r="V5" s="2" t="str">
        <f>TEXT(WEEKDAY(DATE(AnnéeCalendrier,5,20),1),"jjj")</f>
        <v>lun</v>
      </c>
      <c r="W5" s="2" t="str">
        <f>TEXT(WEEKDAY(DATE(AnnéeCalendrier,5,21),1),"jjj")</f>
        <v>mar</v>
      </c>
      <c r="X5" s="2" t="str">
        <f>TEXT(WEEKDAY(DATE(AnnéeCalendrier,5,22),1),"jjj")</f>
        <v>mer</v>
      </c>
      <c r="Y5" s="2" t="str">
        <f>TEXT(WEEKDAY(DATE(AnnéeCalendrier,5,23),1),"jjj")</f>
        <v>jeu</v>
      </c>
      <c r="Z5" s="2" t="str">
        <f>TEXT(WEEKDAY(DATE(AnnéeCalendrier,5,24),1),"jjj")</f>
        <v>ven</v>
      </c>
      <c r="AA5" s="2" t="str">
        <f>TEXT(WEEKDAY(DATE(AnnéeCalendrier,5,25),1),"jjj")</f>
        <v>sam</v>
      </c>
      <c r="AB5" s="2" t="str">
        <f>TEXT(WEEKDAY(DATE(AnnéeCalendrier,5,26),1),"jjj")</f>
        <v>dim</v>
      </c>
      <c r="AC5" s="2" t="str">
        <f>TEXT(WEEKDAY(DATE(AnnéeCalendrier,5,27),1),"jjj")</f>
        <v>lun</v>
      </c>
      <c r="AD5" s="2" t="str">
        <f>TEXT(WEEKDAY(DATE(AnnéeCalendrier,5,28),1),"jjj")</f>
        <v>mar</v>
      </c>
      <c r="AE5" s="2" t="str">
        <f>TEXT(WEEKDAY(DATE(AnnéeCalendrier,5,29),1),"jjj")</f>
        <v>mer</v>
      </c>
      <c r="AF5" s="2" t="str">
        <f>TEXT(WEEKDAY(DATE(AnnéeCalendrier,5,30),1),"jjj")</f>
        <v>jeu</v>
      </c>
      <c r="AG5" s="2" t="str">
        <f>TEXT(WEEKDAY(DATE(AnnéeCalendrier,5,31),1),"jjj")</f>
        <v>ven</v>
      </c>
      <c r="AH5" s="11"/>
      <c r="AI5" s="21"/>
      <c r="AJ5" s="21"/>
      <c r="AK5" s="21"/>
    </row>
    <row r="6" spans="2:37" ht="15" customHeight="1">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2:37" ht="30" customHeight="1">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c r="B12" s="23"/>
      <c r="AH12" s="12"/>
      <c r="AI12" s="12"/>
      <c r="AJ12" s="12"/>
      <c r="AK12" s="12"/>
    </row>
    <row r="13" spans="2:37" ht="30" customHeight="1">
      <c r="B13" s="18" t="str">
        <f>NomMois&amp;" Total"</f>
        <v>Mai Total</v>
      </c>
      <c r="C13" s="12">
        <f>SUBTOTAL(103,[1])</f>
        <v>0</v>
      </c>
      <c r="D13" s="12">
        <f>SUBTOTAL(103,[2])</f>
        <v>0</v>
      </c>
      <c r="E13" s="12">
        <f>SUBTOTAL(103,[3])</f>
        <v>0</v>
      </c>
      <c r="F13" s="12">
        <f>SUBTOTAL(103,[4])</f>
        <v>0</v>
      </c>
      <c r="G13" s="12">
        <f>SUBTOTAL(103,[5])</f>
        <v>0</v>
      </c>
      <c r="H13" s="12">
        <f>SUBTOTAL(103,[6])</f>
        <v>0</v>
      </c>
      <c r="I13" s="12">
        <f>SUBTOTAL(103,[7])</f>
        <v>0</v>
      </c>
      <c r="J13" s="12">
        <f>SUBTOTAL(103,[8])</f>
        <v>0</v>
      </c>
      <c r="K13" s="12">
        <f>SUBTOTAL(103,[9])</f>
        <v>0</v>
      </c>
      <c r="L13" s="12">
        <f>SUBTOTAL(103,[10])</f>
        <v>0</v>
      </c>
      <c r="M13" s="12">
        <f>SUBTOTAL(103,[11])</f>
        <v>0</v>
      </c>
      <c r="N13" s="12">
        <f>SUBTOTAL(103,[12])</f>
        <v>0</v>
      </c>
      <c r="O13" s="12">
        <f>SUBTOTAL(103,[13])</f>
        <v>0</v>
      </c>
      <c r="P13" s="12">
        <f>SUBTOTAL(103,[14])</f>
        <v>0</v>
      </c>
      <c r="Q13" s="12">
        <f>SUBTOTAL(103,[15])</f>
        <v>0</v>
      </c>
      <c r="R13" s="12">
        <f>SUBTOTAL(103,[16])</f>
        <v>0</v>
      </c>
      <c r="S13" s="12">
        <f>SUBTOTAL(103,[17])</f>
        <v>0</v>
      </c>
      <c r="T13" s="12">
        <f>SUBTOTAL(103,[18])</f>
        <v>0</v>
      </c>
      <c r="U13" s="12">
        <f>SUBTOTAL(103,[19])</f>
        <v>0</v>
      </c>
      <c r="V13" s="12">
        <f>SUBTOTAL(103,[20])</f>
        <v>0</v>
      </c>
      <c r="W13" s="12">
        <f>SUBTOTAL(103,[21])</f>
        <v>0</v>
      </c>
      <c r="X13" s="12">
        <f>SUBTOTAL(103,[22])</f>
        <v>0</v>
      </c>
      <c r="Y13" s="12">
        <f>SUBTOTAL(103,[23])</f>
        <v>0</v>
      </c>
      <c r="Z13" s="12">
        <f>SUBTOTAL(103,[24])</f>
        <v>0</v>
      </c>
      <c r="AA13" s="12">
        <f>SUBTOTAL(103,[25])</f>
        <v>0</v>
      </c>
      <c r="AB13" s="12">
        <f>SUBTOTAL(103,[26])</f>
        <v>0</v>
      </c>
      <c r="AC13" s="12">
        <f>SUBTOTAL(103,[27])</f>
        <v>0</v>
      </c>
      <c r="AD13" s="12">
        <f>SUBTOTAL(103,[28])</f>
        <v>0</v>
      </c>
      <c r="AE13" s="12">
        <f>SUBTOTAL(103,[29])</f>
        <v>0</v>
      </c>
      <c r="AF13" s="12">
        <f>SUBTOTAL(103,[30])</f>
        <v>0</v>
      </c>
      <c r="AG13" s="12">
        <f>SUBTOTAL(103,[31])</f>
        <v>0</v>
      </c>
      <c r="AH13" s="12">
        <f>SUBTOTAL(109,[Travaillé])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641" priority="5" stopIfTrue="1">
      <formula>C7=CléPersonnalisée2</formula>
    </cfRule>
    <cfRule type="expression" dxfId="640" priority="6" stopIfTrue="1">
      <formula>C7=CléPersonnalisée1</formula>
    </cfRule>
    <cfRule type="expression" dxfId="639" priority="7" stopIfTrue="1">
      <formula>C7=CléMaladie</formula>
    </cfRule>
    <cfRule type="expression" dxfId="638" priority="8" stopIfTrue="1">
      <formula>C7=CléCongés</formula>
    </cfRule>
    <cfRule type="expression" dxfId="637"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{8D1BB314-FFEB-4F60-8D5B-8821A993CF69}</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{1692C942-4C7F-4CB7-9118-2CE7B79A1749}</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{ADA107CA-07B7-481F-882F-E3CB9E304835}</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i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8D1BB314-FFEB-4F60-8D5B-8821A993CF69}">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1692C942-4C7F-4CB7-9118-2CE7B79A1749}">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ADA107CA-07B7-481F-882F-E3CB9E304835}">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6.xml><?xml version="1.0" encoding="utf-8"?>
<worksheet xmlns="http://schemas.openxmlformats.org/spreadsheetml/2006/main" xmlns:r="http://schemas.openxmlformats.org/officeDocument/2006/relationships">
  <sheetPr>
    <tabColor theme="2"/>
  </sheetPr>
  <dimension ref="A1:AK13"/>
  <sheetViews>
    <sheetView showGridLines="0" topLeftCell="C1" workbookViewId="0">
      <selection activeCell="AH7" sqref="AH7:AK12"/>
    </sheetView>
  </sheetViews>
  <sheetFormatPr baseColWidth="10" defaultColWidth="9.140625" defaultRowHeight="30" customHeight="1"/>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c r="B1" s="13" t="str">
        <f>Titre_Absence_Employé</f>
        <v>Calendrier  des employés</v>
      </c>
    </row>
    <row r="2" spans="2:37" ht="15" customHeight="1">
      <c r="B2" s="17" t="s">
        <v>0</v>
      </c>
      <c r="C2" s="4" t="s">
        <v>8</v>
      </c>
      <c r="D2" s="60" t="s">
        <v>11</v>
      </c>
      <c r="E2" s="60"/>
      <c r="F2" s="5" t="s">
        <v>14</v>
      </c>
      <c r="G2" s="60" t="s">
        <v>18</v>
      </c>
      <c r="H2" s="60"/>
      <c r="I2" s="60"/>
      <c r="J2" s="6" t="s">
        <v>16</v>
      </c>
      <c r="K2" s="60" t="s">
        <v>23</v>
      </c>
      <c r="L2" s="60"/>
      <c r="M2" s="7"/>
      <c r="N2" s="60" t="s">
        <v>27</v>
      </c>
      <c r="O2" s="60"/>
      <c r="P2" s="60"/>
      <c r="Q2" s="60"/>
      <c r="R2" s="8"/>
      <c r="S2" s="60" t="s">
        <v>32</v>
      </c>
      <c r="T2" s="60"/>
      <c r="U2" s="60"/>
      <c r="V2" s="60"/>
    </row>
    <row r="3" spans="2:37" ht="15" customHeight="1">
      <c r="B3" s="13"/>
    </row>
    <row r="4" spans="2:37" ht="30" customHeight="1">
      <c r="B4" s="11" t="s">
        <v>55</v>
      </c>
      <c r="C4" s="58" t="s">
        <v>9</v>
      </c>
      <c r="D4" s="58"/>
      <c r="E4" s="58"/>
      <c r="F4" s="58"/>
      <c r="G4" s="58"/>
      <c r="H4" s="58"/>
      <c r="I4" s="58"/>
      <c r="J4" s="58"/>
      <c r="K4" s="58"/>
      <c r="L4" s="58"/>
      <c r="M4" s="58"/>
      <c r="N4" s="58"/>
      <c r="O4" s="58"/>
      <c r="P4" s="58"/>
      <c r="Q4" s="58"/>
      <c r="R4" s="58"/>
      <c r="S4" s="58"/>
      <c r="T4" s="58"/>
      <c r="U4" s="58"/>
      <c r="V4" s="58"/>
      <c r="W4" s="58"/>
      <c r="X4" s="58"/>
      <c r="Y4" s="58"/>
      <c r="Z4" s="58"/>
      <c r="AA4" s="58"/>
      <c r="AB4" s="58"/>
      <c r="AC4" s="58"/>
      <c r="AD4" s="58"/>
      <c r="AE4" s="58"/>
      <c r="AF4" s="58"/>
      <c r="AG4" s="58"/>
      <c r="AH4" s="11">
        <f>AnnéeCalendrier</f>
        <v>2019</v>
      </c>
      <c r="AI4" s="21"/>
      <c r="AJ4" s="21"/>
      <c r="AK4" s="21"/>
    </row>
    <row r="5" spans="2:37" ht="15" customHeight="1">
      <c r="B5" s="11"/>
      <c r="C5" s="2" t="str">
        <f>TEXT(WEEKDAY(DATE(AnnéeCalendrier,6,1),1),"jjj")</f>
        <v>sam</v>
      </c>
      <c r="D5" s="2" t="str">
        <f>TEXT(WEEKDAY(DATE(AnnéeCalendrier,6,2),1),"jjj")</f>
        <v>dim</v>
      </c>
      <c r="E5" s="2" t="str">
        <f>TEXT(WEEKDAY(DATE(AnnéeCalendrier,6,3),1),"jjj")</f>
        <v>lun</v>
      </c>
      <c r="F5" s="2" t="str">
        <f>TEXT(WEEKDAY(DATE(AnnéeCalendrier,6,4),1),"jjj")</f>
        <v>mar</v>
      </c>
      <c r="G5" s="2" t="str">
        <f>TEXT(WEEKDAY(DATE(AnnéeCalendrier,6,5),1),"jjj")</f>
        <v>mer</v>
      </c>
      <c r="H5" s="2" t="str">
        <f>TEXT(WEEKDAY(DATE(AnnéeCalendrier,6,6),1),"jjj")</f>
        <v>jeu</v>
      </c>
      <c r="I5" s="2" t="str">
        <f>TEXT(WEEKDAY(DATE(AnnéeCalendrier,6,7),1),"jjj")</f>
        <v>ven</v>
      </c>
      <c r="J5" s="2" t="str">
        <f>TEXT(WEEKDAY(DATE(AnnéeCalendrier,6,8),1),"jjj")</f>
        <v>sam</v>
      </c>
      <c r="K5" s="2" t="str">
        <f>TEXT(WEEKDAY(DATE(AnnéeCalendrier,6,9),1),"jjj")</f>
        <v>dim</v>
      </c>
      <c r="L5" s="2" t="str">
        <f>TEXT(WEEKDAY(DATE(AnnéeCalendrier,6,10),1),"jjj")</f>
        <v>lun</v>
      </c>
      <c r="M5" s="2" t="str">
        <f>TEXT(WEEKDAY(DATE(AnnéeCalendrier,6,11),1),"jjj")</f>
        <v>mar</v>
      </c>
      <c r="N5" s="2" t="str">
        <f>TEXT(WEEKDAY(DATE(AnnéeCalendrier,6,12),1),"jjj")</f>
        <v>mer</v>
      </c>
      <c r="O5" s="2" t="str">
        <f>TEXT(WEEKDAY(DATE(AnnéeCalendrier,6,13),1),"jjj")</f>
        <v>jeu</v>
      </c>
      <c r="P5" s="2" t="str">
        <f>TEXT(WEEKDAY(DATE(AnnéeCalendrier,6,14),1),"jjj")</f>
        <v>ven</v>
      </c>
      <c r="Q5" s="2" t="str">
        <f>TEXT(WEEKDAY(DATE(AnnéeCalendrier,6,15),1),"jjj")</f>
        <v>sam</v>
      </c>
      <c r="R5" s="2" t="str">
        <f>TEXT(WEEKDAY(DATE(AnnéeCalendrier,6,16),1),"jjj")</f>
        <v>dim</v>
      </c>
      <c r="S5" s="2" t="str">
        <f>TEXT(WEEKDAY(DATE(AnnéeCalendrier,6,17),1),"jjj")</f>
        <v>lun</v>
      </c>
      <c r="T5" s="2" t="str">
        <f>TEXT(WEEKDAY(DATE(AnnéeCalendrier,6,18),1),"jjj")</f>
        <v>mar</v>
      </c>
      <c r="U5" s="2" t="str">
        <f>TEXT(WEEKDAY(DATE(AnnéeCalendrier,6,19),1),"jjj")</f>
        <v>mer</v>
      </c>
      <c r="V5" s="2" t="str">
        <f>TEXT(WEEKDAY(DATE(AnnéeCalendrier,6,20),1),"jjj")</f>
        <v>jeu</v>
      </c>
      <c r="W5" s="2" t="str">
        <f>TEXT(WEEKDAY(DATE(AnnéeCalendrier,6,21),1),"jjj")</f>
        <v>ven</v>
      </c>
      <c r="X5" s="2" t="str">
        <f>TEXT(WEEKDAY(DATE(AnnéeCalendrier,6,22),1),"jjj")</f>
        <v>sam</v>
      </c>
      <c r="Y5" s="2" t="str">
        <f>TEXT(WEEKDAY(DATE(AnnéeCalendrier,6,23),1),"jjj")</f>
        <v>dim</v>
      </c>
      <c r="Z5" s="2" t="str">
        <f>TEXT(WEEKDAY(DATE(AnnéeCalendrier,6,24),1),"jjj")</f>
        <v>lun</v>
      </c>
      <c r="AA5" s="2" t="str">
        <f>TEXT(WEEKDAY(DATE(AnnéeCalendrier,6,25),1),"jjj")</f>
        <v>mar</v>
      </c>
      <c r="AB5" s="2" t="str">
        <f>TEXT(WEEKDAY(DATE(AnnéeCalendrier,6,26),1),"jjj")</f>
        <v>mer</v>
      </c>
      <c r="AC5" s="2" t="str">
        <f>TEXT(WEEKDAY(DATE(AnnéeCalendrier,6,27),1),"jjj")</f>
        <v>jeu</v>
      </c>
      <c r="AD5" s="2" t="str">
        <f>TEXT(WEEKDAY(DATE(AnnéeCalendrier,6,28),1),"jjj")</f>
        <v>ven</v>
      </c>
      <c r="AE5" s="2" t="str">
        <f>TEXT(WEEKDAY(DATE(AnnéeCalendrier,6,29),1),"jjj")</f>
        <v>sam</v>
      </c>
      <c r="AF5" s="2" t="str">
        <f>TEXT(WEEKDAY(DATE(AnnéeCalendrier,6,30),1),"jjj")</f>
        <v>dim</v>
      </c>
      <c r="AG5" s="2"/>
      <c r="AH5" s="11"/>
      <c r="AI5" s="21"/>
      <c r="AJ5" s="21"/>
      <c r="AK5" s="21"/>
    </row>
    <row r="6" spans="2:37" ht="15" customHeight="1">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50</v>
      </c>
      <c r="AH6" s="4" t="s">
        <v>64</v>
      </c>
      <c r="AI6" s="7" t="s">
        <v>65</v>
      </c>
      <c r="AJ6" s="6" t="s">
        <v>23</v>
      </c>
      <c r="AK6" s="5" t="s">
        <v>18</v>
      </c>
    </row>
    <row r="7" spans="2:37" ht="30" customHeight="1">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c r="B12" s="23"/>
      <c r="AH12" s="12"/>
      <c r="AI12" s="12"/>
      <c r="AJ12" s="12"/>
      <c r="AK12" s="12"/>
    </row>
    <row r="13" spans="2:37" ht="30" customHeight="1">
      <c r="B13" s="18" t="str">
        <f>NomMois&amp;" Total"</f>
        <v>Juin Total</v>
      </c>
      <c r="C13" s="12">
        <f>SUBTOTAL(103,[1])</f>
        <v>0</v>
      </c>
      <c r="D13" s="12">
        <f>SUBTOTAL(103,[2])</f>
        <v>0</v>
      </c>
      <c r="E13" s="12">
        <f>SUBTOTAL(103,[3])</f>
        <v>0</v>
      </c>
      <c r="F13" s="12">
        <f>SUBTOTAL(103,[4])</f>
        <v>0</v>
      </c>
      <c r="G13" s="12">
        <f>SUBTOTAL(103,[5])</f>
        <v>0</v>
      </c>
      <c r="H13" s="12">
        <f>SUBTOTAL(103,[6])</f>
        <v>0</v>
      </c>
      <c r="I13" s="12">
        <f>SUBTOTAL(103,[7])</f>
        <v>0</v>
      </c>
      <c r="J13" s="12">
        <f>SUBTOTAL(103,[8])</f>
        <v>0</v>
      </c>
      <c r="K13" s="12">
        <f>SUBTOTAL(103,[9])</f>
        <v>0</v>
      </c>
      <c r="L13" s="12">
        <f>SUBTOTAL(103,[10])</f>
        <v>0</v>
      </c>
      <c r="M13" s="12">
        <f>SUBTOTAL(103,[11])</f>
        <v>0</v>
      </c>
      <c r="N13" s="12">
        <f>SUBTOTAL(103,[12])</f>
        <v>0</v>
      </c>
      <c r="O13" s="12">
        <f>SUBTOTAL(103,[13])</f>
        <v>0</v>
      </c>
      <c r="P13" s="12">
        <f>SUBTOTAL(103,[14])</f>
        <v>0</v>
      </c>
      <c r="Q13" s="12">
        <f>SUBTOTAL(103,[15])</f>
        <v>0</v>
      </c>
      <c r="R13" s="12">
        <f>SUBTOTAL(103,[16])</f>
        <v>0</v>
      </c>
      <c r="S13" s="12">
        <f>SUBTOTAL(103,[17])</f>
        <v>0</v>
      </c>
      <c r="T13" s="12">
        <f>SUBTOTAL(103,[18])</f>
        <v>0</v>
      </c>
      <c r="U13" s="12">
        <f>SUBTOTAL(103,[19])</f>
        <v>0</v>
      </c>
      <c r="V13" s="12">
        <f>SUBTOTAL(103,[20])</f>
        <v>0</v>
      </c>
      <c r="W13" s="12">
        <f>SUBTOTAL(103,[21])</f>
        <v>0</v>
      </c>
      <c r="X13" s="12">
        <f>SUBTOTAL(103,[22])</f>
        <v>0</v>
      </c>
      <c r="Y13" s="12">
        <f>SUBTOTAL(103,[23])</f>
        <v>0</v>
      </c>
      <c r="Z13" s="12">
        <f>SUBTOTAL(103,[24])</f>
        <v>0</v>
      </c>
      <c r="AA13" s="12">
        <f>SUBTOTAL(103,[25])</f>
        <v>0</v>
      </c>
      <c r="AB13" s="12">
        <f>SUBTOTAL(103,[26])</f>
        <v>0</v>
      </c>
      <c r="AC13" s="12">
        <f>SUBTOTAL(103,[27])</f>
        <v>0</v>
      </c>
      <c r="AD13" s="12">
        <f>SUBTOTAL(103,[28])</f>
        <v>0</v>
      </c>
      <c r="AE13" s="12">
        <f>SUBTOTAL(103,[29])</f>
        <v>0</v>
      </c>
      <c r="AF13" s="12">
        <f>SUBTOTAL(103,[30])</f>
        <v>0</v>
      </c>
      <c r="AG13" s="12">
        <f>SUBTOTAL(103,[[ ]])</f>
        <v>0</v>
      </c>
      <c r="AH13" s="12">
        <f>SUBTOTAL(109,[Travaillé])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561" priority="5" stopIfTrue="1">
      <formula>C7=CléPersonnalisée2</formula>
    </cfRule>
    <cfRule type="expression" dxfId="560" priority="6" stopIfTrue="1">
      <formula>C7=CléPersonnalisée1</formula>
    </cfRule>
    <cfRule type="expression" dxfId="559" priority="7" stopIfTrue="1">
      <formula>C7=CléMaladie</formula>
    </cfRule>
    <cfRule type="expression" dxfId="558" priority="8" stopIfTrue="1">
      <formula>C7=CléCongés</formula>
    </cfRule>
    <cfRule type="expression" dxfId="557"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{11270CEC-5B6A-464D-BEED-B82C1B740103}</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{49EA3E04-1588-498C-8001-B93F00605B92}</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{DFC71A31-5740-4FDA-BA2E-AACCE646B7A5}</x14:id>
        </ext>
      </extLst>
    </cfRule>
  </conditionalFormatting>
  <dataValidations count="13">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juin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1270CEC-5B6A-464D-BEED-B82C1B740103}">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49EA3E04-1588-498C-8001-B93F00605B92}">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DFC71A31-5740-4FDA-BA2E-AACCE646B7A5}">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7.xml><?xml version="1.0" encoding="utf-8"?>
<worksheet xmlns="http://schemas.openxmlformats.org/spreadsheetml/2006/main" xmlns:r="http://schemas.openxmlformats.org/officeDocument/2006/relationships">
  <sheetPr>
    <tabColor theme="1"/>
  </sheetPr>
  <dimension ref="A1:AK14"/>
  <sheetViews>
    <sheetView showGridLines="0" topLeftCell="C1" workbookViewId="0">
      <selection activeCell="AH7" sqref="AH7:AK13"/>
    </sheetView>
  </sheetViews>
  <sheetFormatPr baseColWidth="10" defaultColWidth="9.140625" defaultRowHeight="30" customHeight="1"/>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c r="B1" s="13" t="str">
        <f>Titre_Absence_Employé</f>
        <v>Calendrier  des employés</v>
      </c>
    </row>
    <row r="2" spans="2:37" ht="15" customHeight="1">
      <c r="B2" s="17" t="s">
        <v>0</v>
      </c>
      <c r="C2" s="4" t="s">
        <v>8</v>
      </c>
      <c r="D2" s="60" t="s">
        <v>11</v>
      </c>
      <c r="E2" s="60"/>
      <c r="F2" s="5" t="s">
        <v>14</v>
      </c>
      <c r="G2" s="60" t="s">
        <v>18</v>
      </c>
      <c r="H2" s="60"/>
      <c r="I2" s="60"/>
      <c r="J2" s="6" t="s">
        <v>16</v>
      </c>
      <c r="K2" s="60" t="s">
        <v>23</v>
      </c>
      <c r="L2" s="60"/>
      <c r="M2" s="7"/>
      <c r="N2" s="60" t="s">
        <v>27</v>
      </c>
      <c r="O2" s="60"/>
      <c r="P2" s="60"/>
      <c r="Q2" s="60"/>
      <c r="R2" s="8"/>
      <c r="S2" s="60" t="s">
        <v>32</v>
      </c>
      <c r="T2" s="60"/>
      <c r="U2" s="60"/>
      <c r="V2" s="60"/>
    </row>
    <row r="3" spans="2:37" ht="15" customHeight="1">
      <c r="B3" s="13"/>
    </row>
    <row r="4" spans="2:37" ht="30" customHeight="1">
      <c r="B4" s="11" t="s">
        <v>56</v>
      </c>
      <c r="C4" s="58" t="s">
        <v>9</v>
      </c>
      <c r="D4" s="58"/>
      <c r="E4" s="58"/>
      <c r="F4" s="58"/>
      <c r="G4" s="58"/>
      <c r="H4" s="58"/>
      <c r="I4" s="58"/>
      <c r="J4" s="58"/>
      <c r="K4" s="58"/>
      <c r="L4" s="58"/>
      <c r="M4" s="58"/>
      <c r="N4" s="58"/>
      <c r="O4" s="58"/>
      <c r="P4" s="58"/>
      <c r="Q4" s="58"/>
      <c r="R4" s="58"/>
      <c r="S4" s="58"/>
      <c r="T4" s="58"/>
      <c r="U4" s="58"/>
      <c r="V4" s="58"/>
      <c r="W4" s="58"/>
      <c r="X4" s="58"/>
      <c r="Y4" s="58"/>
      <c r="Z4" s="58"/>
      <c r="AA4" s="58"/>
      <c r="AB4" s="58"/>
      <c r="AC4" s="58"/>
      <c r="AD4" s="58"/>
      <c r="AE4" s="58"/>
      <c r="AF4" s="58"/>
      <c r="AG4" s="58"/>
      <c r="AH4" s="11">
        <f>AnnéeCalendrier</f>
        <v>2019</v>
      </c>
      <c r="AI4" s="21"/>
      <c r="AJ4" s="21"/>
      <c r="AK4" s="21"/>
    </row>
    <row r="5" spans="2:37" ht="15" customHeight="1">
      <c r="B5" s="11"/>
      <c r="C5" s="2" t="str">
        <f>TEXT(WEEKDAY(DATE(AnnéeCalendrier,7,1),1),"jjj")</f>
        <v>lun</v>
      </c>
      <c r="D5" s="2" t="str">
        <f>TEXT(WEEKDAY(DATE(AnnéeCalendrier,7,2),1),"jjj")</f>
        <v>mar</v>
      </c>
      <c r="E5" s="2" t="str">
        <f>TEXT(WEEKDAY(DATE(AnnéeCalendrier,7,3),1),"jjj")</f>
        <v>mer</v>
      </c>
      <c r="F5" s="2" t="str">
        <f>TEXT(WEEKDAY(DATE(AnnéeCalendrier,7,4),1),"jjj")</f>
        <v>jeu</v>
      </c>
      <c r="G5" s="2" t="str">
        <f>TEXT(WEEKDAY(DATE(AnnéeCalendrier,7,5),1),"jjj")</f>
        <v>ven</v>
      </c>
      <c r="H5" s="2" t="str">
        <f>TEXT(WEEKDAY(DATE(AnnéeCalendrier,7,6),1),"jjj")</f>
        <v>sam</v>
      </c>
      <c r="I5" s="2" t="str">
        <f>TEXT(WEEKDAY(DATE(AnnéeCalendrier,7,7),1),"jjj")</f>
        <v>dim</v>
      </c>
      <c r="J5" s="2" t="str">
        <f>TEXT(WEEKDAY(DATE(AnnéeCalendrier,7,8),1),"jjj")</f>
        <v>lun</v>
      </c>
      <c r="K5" s="2" t="str">
        <f>TEXT(WEEKDAY(DATE(AnnéeCalendrier,7,9),1),"jjj")</f>
        <v>mar</v>
      </c>
      <c r="L5" s="2" t="str">
        <f>TEXT(WEEKDAY(DATE(AnnéeCalendrier,7,10),1),"jjj")</f>
        <v>mer</v>
      </c>
      <c r="M5" s="2" t="str">
        <f>TEXT(WEEKDAY(DATE(AnnéeCalendrier,7,11),1),"jjj")</f>
        <v>jeu</v>
      </c>
      <c r="N5" s="2" t="str">
        <f>TEXT(WEEKDAY(DATE(AnnéeCalendrier,7,12),1),"jjj")</f>
        <v>ven</v>
      </c>
      <c r="O5" s="2" t="str">
        <f>TEXT(WEEKDAY(DATE(AnnéeCalendrier,7,13),1),"jjj")</f>
        <v>sam</v>
      </c>
      <c r="P5" s="2" t="str">
        <f>TEXT(WEEKDAY(DATE(AnnéeCalendrier,7,14),1),"jjj")</f>
        <v>dim</v>
      </c>
      <c r="Q5" s="2" t="str">
        <f>TEXT(WEEKDAY(DATE(AnnéeCalendrier,7,15),1),"jjj")</f>
        <v>lun</v>
      </c>
      <c r="R5" s="2" t="str">
        <f>TEXT(WEEKDAY(DATE(AnnéeCalendrier,7,16),1),"jjj")</f>
        <v>mar</v>
      </c>
      <c r="S5" s="2" t="str">
        <f>TEXT(WEEKDAY(DATE(AnnéeCalendrier,7,17),1),"jjj")</f>
        <v>mer</v>
      </c>
      <c r="T5" s="2" t="str">
        <f>TEXT(WEEKDAY(DATE(AnnéeCalendrier,7,18),1),"jjj")</f>
        <v>jeu</v>
      </c>
      <c r="U5" s="2" t="str">
        <f>TEXT(WEEKDAY(DATE(AnnéeCalendrier,7,19),1),"jjj")</f>
        <v>ven</v>
      </c>
      <c r="V5" s="2" t="str">
        <f>TEXT(WEEKDAY(DATE(AnnéeCalendrier,7,20),1),"jjj")</f>
        <v>sam</v>
      </c>
      <c r="W5" s="2" t="str">
        <f>TEXT(WEEKDAY(DATE(AnnéeCalendrier,7,21),1),"jjj")</f>
        <v>dim</v>
      </c>
      <c r="X5" s="2" t="str">
        <f>TEXT(WEEKDAY(DATE(AnnéeCalendrier,7,22),1),"jjj")</f>
        <v>lun</v>
      </c>
      <c r="Y5" s="2" t="str">
        <f>TEXT(WEEKDAY(DATE(AnnéeCalendrier,7,23),1),"jjj")</f>
        <v>mar</v>
      </c>
      <c r="Z5" s="2" t="str">
        <f>TEXT(WEEKDAY(DATE(AnnéeCalendrier,7,24),1),"jjj")</f>
        <v>mer</v>
      </c>
      <c r="AA5" s="2" t="str">
        <f>TEXT(WEEKDAY(DATE(AnnéeCalendrier,7,25),1),"jjj")</f>
        <v>jeu</v>
      </c>
      <c r="AB5" s="2" t="str">
        <f>TEXT(WEEKDAY(DATE(AnnéeCalendrier,7,26),1),"jjj")</f>
        <v>ven</v>
      </c>
      <c r="AC5" s="2" t="str">
        <f>TEXT(WEEKDAY(DATE(AnnéeCalendrier,7,27),1),"jjj")</f>
        <v>sam</v>
      </c>
      <c r="AD5" s="2" t="str">
        <f>TEXT(WEEKDAY(DATE(AnnéeCalendrier,7,28),1),"jjj")</f>
        <v>dim</v>
      </c>
      <c r="AE5" s="2" t="str">
        <f>TEXT(WEEKDAY(DATE(AnnéeCalendrier,7,29),1),"jjj")</f>
        <v>lun</v>
      </c>
      <c r="AF5" s="2" t="str">
        <f>TEXT(WEEKDAY(DATE(AnnéeCalendrier,7,30),1),"jjj")</f>
        <v>mar</v>
      </c>
      <c r="AG5" s="2" t="str">
        <f>TEXT(WEEKDAY(DATE(AnnéeCalendrier,7,31),1),"jjj")</f>
        <v>mer</v>
      </c>
      <c r="AH5" s="11"/>
      <c r="AI5" s="21"/>
      <c r="AJ5" s="21"/>
      <c r="AK5" s="21"/>
    </row>
    <row r="6" spans="2:37" ht="15" customHeight="1">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2:37" ht="30" customHeight="1">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c r="B12" s="23"/>
      <c r="AH12" s="12"/>
      <c r="AI12" s="12"/>
      <c r="AJ12" s="12"/>
      <c r="AK12" s="12"/>
    </row>
    <row r="13" spans="2:37" ht="30" customHeight="1">
      <c r="B13" s="23"/>
      <c r="AH13" s="12"/>
      <c r="AI13" s="3"/>
      <c r="AJ13" s="3"/>
      <c r="AK13" s="3"/>
    </row>
    <row r="14" spans="2:37" ht="30" customHeight="1">
      <c r="B14" s="18" t="str">
        <f>NomMois&amp;" Total"</f>
        <v>Juillet Total</v>
      </c>
      <c r="C14" s="12">
        <f>SUBTOTAL(103,[1])</f>
        <v>0</v>
      </c>
      <c r="D14" s="12">
        <f>SUBTOTAL(103,[2])</f>
        <v>0</v>
      </c>
      <c r="E14" s="12">
        <f>SUBTOTAL(103,[3])</f>
        <v>0</v>
      </c>
      <c r="F14" s="12">
        <f>SUBTOTAL(103,[4])</f>
        <v>0</v>
      </c>
      <c r="G14" s="12">
        <f>SUBTOTAL(103,[5])</f>
        <v>0</v>
      </c>
      <c r="H14" s="12">
        <f>SUBTOTAL(103,[6])</f>
        <v>0</v>
      </c>
      <c r="I14" s="12">
        <f>SUBTOTAL(103,[7])</f>
        <v>0</v>
      </c>
      <c r="J14" s="12">
        <f>SUBTOTAL(103,[8])</f>
        <v>0</v>
      </c>
      <c r="K14" s="12">
        <f>SUBTOTAL(103,[9])</f>
        <v>0</v>
      </c>
      <c r="L14" s="12">
        <f>SUBTOTAL(103,[10])</f>
        <v>0</v>
      </c>
      <c r="M14" s="12">
        <f>SUBTOTAL(103,[11])</f>
        <v>0</v>
      </c>
      <c r="N14" s="12">
        <f>SUBTOTAL(103,[12])</f>
        <v>0</v>
      </c>
      <c r="O14" s="12">
        <f>SUBTOTAL(103,[13])</f>
        <v>0</v>
      </c>
      <c r="P14" s="12">
        <f>SUBTOTAL(103,[14])</f>
        <v>0</v>
      </c>
      <c r="Q14" s="12">
        <f>SUBTOTAL(103,[15])</f>
        <v>0</v>
      </c>
      <c r="R14" s="12">
        <f>SUBTOTAL(103,[16])</f>
        <v>0</v>
      </c>
      <c r="S14" s="12">
        <f>SUBTOTAL(103,[17])</f>
        <v>0</v>
      </c>
      <c r="T14" s="12">
        <f>SUBTOTAL(103,[18])</f>
        <v>0</v>
      </c>
      <c r="U14" s="12">
        <f>SUBTOTAL(103,[19])</f>
        <v>0</v>
      </c>
      <c r="V14" s="12">
        <f>SUBTOTAL(103,[20])</f>
        <v>0</v>
      </c>
      <c r="W14" s="12">
        <f>SUBTOTAL(103,[21])</f>
        <v>0</v>
      </c>
      <c r="X14" s="12">
        <f>SUBTOTAL(103,[22])</f>
        <v>0</v>
      </c>
      <c r="Y14" s="12">
        <f>SUBTOTAL(103,[23])</f>
        <v>0</v>
      </c>
      <c r="Z14" s="12">
        <f>SUBTOTAL(103,[24])</f>
        <v>0</v>
      </c>
      <c r="AA14" s="12">
        <f>SUBTOTAL(103,[25])</f>
        <v>0</v>
      </c>
      <c r="AB14" s="12">
        <f>SUBTOTAL(103,[26])</f>
        <v>0</v>
      </c>
      <c r="AC14" s="12">
        <f>SUBTOTAL(103,[27])</f>
        <v>0</v>
      </c>
      <c r="AD14" s="12">
        <f>SUBTOTAL(103,[28])</f>
        <v>0</v>
      </c>
      <c r="AE14" s="12">
        <f>SUBTOTAL(103,[29])</f>
        <v>0</v>
      </c>
      <c r="AF14" s="12">
        <f>SUBTOTAL(103,[30])</f>
        <v>0</v>
      </c>
      <c r="AG14" s="12">
        <f>SUBTOTAL(103,[31])</f>
        <v>0</v>
      </c>
      <c r="AH14" s="12">
        <f>SUBTOTAL(109,[Travaillé])</f>
        <v>0</v>
      </c>
      <c r="AI14" s="12">
        <f>SUBTOTAL(109,[Congés])</f>
        <v>0</v>
      </c>
      <c r="AJ14" s="12">
        <f>SUBTOTAL(109,[Maladie])</f>
        <v>0</v>
      </c>
      <c r="AK14" s="12">
        <f>SUBTOTAL(109,[Personnel])</f>
        <v>0</v>
      </c>
    </row>
  </sheetData>
  <mergeCells count="6">
    <mergeCell ref="C4:AG4"/>
    <mergeCell ref="D2:E2"/>
    <mergeCell ref="G2:I2"/>
    <mergeCell ref="K2:L2"/>
    <mergeCell ref="N2:Q2"/>
    <mergeCell ref="S2:V2"/>
  </mergeCells>
  <conditionalFormatting sqref="C7:AG13">
    <cfRule type="expression" priority="4" stopIfTrue="1">
      <formula>C7=""</formula>
    </cfRule>
  </conditionalFormatting>
  <conditionalFormatting sqref="C7:AG13">
    <cfRule type="expression" dxfId="481" priority="5" stopIfTrue="1">
      <formula>C7=CléPersonnalisée2</formula>
    </cfRule>
    <cfRule type="expression" dxfId="480" priority="6" stopIfTrue="1">
      <formula>C7=CléPersonnalisée1</formula>
    </cfRule>
    <cfRule type="expression" dxfId="479" priority="7" stopIfTrue="1">
      <formula>C7=CléMaladie</formula>
    </cfRule>
    <cfRule type="expression" dxfId="478" priority="8" stopIfTrue="1">
      <formula>C7=CléCongés</formula>
    </cfRule>
    <cfRule type="expression" dxfId="477"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{F86DF969-DE44-44DF-B327-BEAC89583234}</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{23461751-F110-49A4-9F41-62A46C59E0D7}</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{F5FB7EF2-A30E-4010-86F2-651A4DC5B648}</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juillet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86DF969-DE44-44DF-B327-BEAC89583234}">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23461751-F110-49A4-9F41-62A46C59E0D7}">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F5FB7EF2-A30E-4010-86F2-651A4DC5B648}">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B7:B13</xm:sqref>
        </x14:dataValidation>
      </x14:dataValidations>
    </ext>
  </extLst>
</worksheet>
</file>

<file path=xl/worksheets/sheet8.xml><?xml version="1.0" encoding="utf-8"?>
<worksheet xmlns="http://schemas.openxmlformats.org/spreadsheetml/2006/main" xmlns:r="http://schemas.openxmlformats.org/officeDocument/2006/relationships">
  <sheetPr>
    <tabColor theme="2" tint="-0.749992370372631"/>
  </sheetPr>
  <dimension ref="A1:AK13"/>
  <sheetViews>
    <sheetView showGridLines="0" topLeftCell="C1" workbookViewId="0">
      <selection activeCell="AH7" sqref="AH7:AK12"/>
    </sheetView>
  </sheetViews>
  <sheetFormatPr baseColWidth="10" defaultColWidth="9.140625" defaultRowHeight="30" customHeight="1"/>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c r="B1" s="13" t="str">
        <f>Titre_Absence_Employé</f>
        <v>Calendrier  des employés</v>
      </c>
    </row>
    <row r="2" spans="2:37" ht="15" customHeight="1">
      <c r="B2" s="17" t="s">
        <v>0</v>
      </c>
      <c r="C2" s="4" t="s">
        <v>8</v>
      </c>
      <c r="D2" s="60" t="s">
        <v>11</v>
      </c>
      <c r="E2" s="60"/>
      <c r="F2" s="5" t="s">
        <v>14</v>
      </c>
      <c r="G2" s="60" t="s">
        <v>18</v>
      </c>
      <c r="H2" s="60"/>
      <c r="I2" s="60"/>
      <c r="J2" s="6" t="s">
        <v>16</v>
      </c>
      <c r="K2" s="60" t="s">
        <v>23</v>
      </c>
      <c r="L2" s="60"/>
      <c r="M2" s="7"/>
      <c r="N2" s="60" t="s">
        <v>27</v>
      </c>
      <c r="O2" s="60"/>
      <c r="P2" s="60"/>
      <c r="Q2" s="60"/>
      <c r="R2" s="8"/>
      <c r="S2" s="60" t="s">
        <v>32</v>
      </c>
      <c r="T2" s="60"/>
      <c r="U2" s="60"/>
      <c r="V2" s="60"/>
    </row>
    <row r="3" spans="2:37" ht="15" customHeight="1">
      <c r="B3" s="13"/>
    </row>
    <row r="4" spans="2:37" ht="30" customHeight="1">
      <c r="B4" s="11" t="s">
        <v>57</v>
      </c>
      <c r="C4" s="58" t="s">
        <v>9</v>
      </c>
      <c r="D4" s="58"/>
      <c r="E4" s="58"/>
      <c r="F4" s="58"/>
      <c r="G4" s="58"/>
      <c r="H4" s="58"/>
      <c r="I4" s="58"/>
      <c r="J4" s="58"/>
      <c r="K4" s="58"/>
      <c r="L4" s="58"/>
      <c r="M4" s="58"/>
      <c r="N4" s="58"/>
      <c r="O4" s="58"/>
      <c r="P4" s="58"/>
      <c r="Q4" s="58"/>
      <c r="R4" s="58"/>
      <c r="S4" s="58"/>
      <c r="T4" s="58"/>
      <c r="U4" s="58"/>
      <c r="V4" s="58"/>
      <c r="W4" s="58"/>
      <c r="X4" s="58"/>
      <c r="Y4" s="58"/>
      <c r="Z4" s="58"/>
      <c r="AA4" s="58"/>
      <c r="AB4" s="58"/>
      <c r="AC4" s="58"/>
      <c r="AD4" s="58"/>
      <c r="AE4" s="58"/>
      <c r="AF4" s="58"/>
      <c r="AG4" s="58"/>
      <c r="AH4" s="11">
        <f>AnnéeCalendrier</f>
        <v>2019</v>
      </c>
      <c r="AI4" s="21"/>
      <c r="AJ4" s="21"/>
      <c r="AK4" s="21"/>
    </row>
    <row r="5" spans="2:37" ht="15" customHeight="1">
      <c r="B5" s="11"/>
      <c r="C5" s="2" t="str">
        <f>TEXT(WEEKDAY(DATE(AnnéeCalendrier,8,1),1),"jjj")</f>
        <v>jeu</v>
      </c>
      <c r="D5" s="2" t="str">
        <f>TEXT(WEEKDAY(DATE(AnnéeCalendrier,8,2),1),"jjj")</f>
        <v>ven</v>
      </c>
      <c r="E5" s="2" t="str">
        <f>TEXT(WEEKDAY(DATE(AnnéeCalendrier,8,3),1),"jjj")</f>
        <v>sam</v>
      </c>
      <c r="F5" s="2" t="str">
        <f>TEXT(WEEKDAY(DATE(AnnéeCalendrier,8,4),1),"jjj")</f>
        <v>dim</v>
      </c>
      <c r="G5" s="2" t="str">
        <f>TEXT(WEEKDAY(DATE(AnnéeCalendrier,8,5),1),"jjj")</f>
        <v>lun</v>
      </c>
      <c r="H5" s="2" t="str">
        <f>TEXT(WEEKDAY(DATE(AnnéeCalendrier,8,6),1),"jjj")</f>
        <v>mar</v>
      </c>
      <c r="I5" s="2" t="str">
        <f>TEXT(WEEKDAY(DATE(AnnéeCalendrier,8,7),1),"jjj")</f>
        <v>mer</v>
      </c>
      <c r="J5" s="2" t="str">
        <f>TEXT(WEEKDAY(DATE(AnnéeCalendrier,8,8),1),"jjj")</f>
        <v>jeu</v>
      </c>
      <c r="K5" s="2" t="str">
        <f>TEXT(WEEKDAY(DATE(AnnéeCalendrier,8,9),1),"jjj")</f>
        <v>ven</v>
      </c>
      <c r="L5" s="2" t="str">
        <f>TEXT(WEEKDAY(DATE(AnnéeCalendrier,8,10),1),"jjj")</f>
        <v>sam</v>
      </c>
      <c r="M5" s="2" t="str">
        <f>TEXT(WEEKDAY(DATE(AnnéeCalendrier,8,11),1),"jjj")</f>
        <v>dim</v>
      </c>
      <c r="N5" s="2" t="str">
        <f>TEXT(WEEKDAY(DATE(AnnéeCalendrier,8,12),1),"jjj")</f>
        <v>lun</v>
      </c>
      <c r="O5" s="2" t="str">
        <f>TEXT(WEEKDAY(DATE(AnnéeCalendrier,8,13),1),"jjj")</f>
        <v>mar</v>
      </c>
      <c r="P5" s="2" t="str">
        <f>TEXT(WEEKDAY(DATE(AnnéeCalendrier,8,14),1),"jjj")</f>
        <v>mer</v>
      </c>
      <c r="Q5" s="2" t="str">
        <f>TEXT(WEEKDAY(DATE(AnnéeCalendrier,8,15),1),"jjj")</f>
        <v>jeu</v>
      </c>
      <c r="R5" s="2" t="str">
        <f>TEXT(WEEKDAY(DATE(AnnéeCalendrier,8,16),1),"jjj")</f>
        <v>ven</v>
      </c>
      <c r="S5" s="2" t="str">
        <f>TEXT(WEEKDAY(DATE(AnnéeCalendrier,8,17),1),"jjj")</f>
        <v>sam</v>
      </c>
      <c r="T5" s="2" t="str">
        <f>TEXT(WEEKDAY(DATE(AnnéeCalendrier,8,18),1),"jjj")</f>
        <v>dim</v>
      </c>
      <c r="U5" s="2" t="str">
        <f>TEXT(WEEKDAY(DATE(AnnéeCalendrier,8,19),1),"jjj")</f>
        <v>lun</v>
      </c>
      <c r="V5" s="2" t="str">
        <f>TEXT(WEEKDAY(DATE(AnnéeCalendrier,8,20),1),"jjj")</f>
        <v>mar</v>
      </c>
      <c r="W5" s="2" t="str">
        <f>TEXT(WEEKDAY(DATE(AnnéeCalendrier,8,21),1),"jjj")</f>
        <v>mer</v>
      </c>
      <c r="X5" s="2" t="str">
        <f>TEXT(WEEKDAY(DATE(AnnéeCalendrier,8,22),1),"jjj")</f>
        <v>jeu</v>
      </c>
      <c r="Y5" s="2" t="str">
        <f>TEXT(WEEKDAY(DATE(AnnéeCalendrier,8,23),1),"jjj")</f>
        <v>ven</v>
      </c>
      <c r="Z5" s="2" t="str">
        <f>TEXT(WEEKDAY(DATE(AnnéeCalendrier,8,24),1),"jjj")</f>
        <v>sam</v>
      </c>
      <c r="AA5" s="2" t="str">
        <f>TEXT(WEEKDAY(DATE(AnnéeCalendrier,8,25),1),"jjj")</f>
        <v>dim</v>
      </c>
      <c r="AB5" s="2" t="str">
        <f>TEXT(WEEKDAY(DATE(AnnéeCalendrier,8,26),1),"jjj")</f>
        <v>lun</v>
      </c>
      <c r="AC5" s="2" t="str">
        <f>TEXT(WEEKDAY(DATE(AnnéeCalendrier,8,27),1),"jjj")</f>
        <v>mar</v>
      </c>
      <c r="AD5" s="2" t="str">
        <f>TEXT(WEEKDAY(DATE(AnnéeCalendrier,8,28),1),"jjj")</f>
        <v>mer</v>
      </c>
      <c r="AE5" s="2" t="str">
        <f>TEXT(WEEKDAY(DATE(AnnéeCalendrier,8,29),1),"jjj")</f>
        <v>jeu</v>
      </c>
      <c r="AF5" s="2" t="str">
        <f>TEXT(WEEKDAY(DATE(AnnéeCalendrier,8,30),1),"jjj")</f>
        <v>ven</v>
      </c>
      <c r="AG5" s="2" t="str">
        <f>TEXT(WEEKDAY(DATE(AnnéeCalendrier,8,31),1),"jjj")</f>
        <v>sam</v>
      </c>
      <c r="AH5" s="11"/>
      <c r="AI5" s="21"/>
      <c r="AJ5" s="21"/>
      <c r="AK5" s="21"/>
    </row>
    <row r="6" spans="2:37" ht="15" customHeight="1">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2:37" ht="30" customHeight="1">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c r="B12" s="23"/>
      <c r="AH12" s="12"/>
      <c r="AI12" s="12"/>
      <c r="AJ12" s="12"/>
      <c r="AK12" s="12"/>
    </row>
    <row r="13" spans="2:37" ht="30" customHeight="1">
      <c r="B13" s="18" t="str">
        <f>NomMois&amp;" Total"</f>
        <v>Août Total</v>
      </c>
      <c r="C13" s="12">
        <f>SUBTOTAL(103,[1])</f>
        <v>0</v>
      </c>
      <c r="D13" s="12">
        <f>SUBTOTAL(103,[2])</f>
        <v>0</v>
      </c>
      <c r="E13" s="12">
        <f>SUBTOTAL(103,[3])</f>
        <v>0</v>
      </c>
      <c r="F13" s="12">
        <f>SUBTOTAL(103,[4])</f>
        <v>0</v>
      </c>
      <c r="G13" s="12">
        <f>SUBTOTAL(103,[5])</f>
        <v>0</v>
      </c>
      <c r="H13" s="12">
        <f>SUBTOTAL(103,[6])</f>
        <v>0</v>
      </c>
      <c r="I13" s="12">
        <f>SUBTOTAL(103,[7])</f>
        <v>0</v>
      </c>
      <c r="J13" s="12">
        <f>SUBTOTAL(103,[8])</f>
        <v>0</v>
      </c>
      <c r="K13" s="12">
        <f>SUBTOTAL(103,[9])</f>
        <v>0</v>
      </c>
      <c r="L13" s="12">
        <f>SUBTOTAL(103,[10])</f>
        <v>0</v>
      </c>
      <c r="M13" s="12">
        <f>SUBTOTAL(103,[11])</f>
        <v>0</v>
      </c>
      <c r="N13" s="12">
        <f>SUBTOTAL(103,[12])</f>
        <v>0</v>
      </c>
      <c r="O13" s="12">
        <f>SUBTOTAL(103,[13])</f>
        <v>0</v>
      </c>
      <c r="P13" s="12">
        <f>SUBTOTAL(103,[14])</f>
        <v>0</v>
      </c>
      <c r="Q13" s="12">
        <f>SUBTOTAL(103,[15])</f>
        <v>0</v>
      </c>
      <c r="R13" s="12">
        <f>SUBTOTAL(103,[16])</f>
        <v>0</v>
      </c>
      <c r="S13" s="12">
        <f>SUBTOTAL(103,[17])</f>
        <v>0</v>
      </c>
      <c r="T13" s="12">
        <f>SUBTOTAL(103,[18])</f>
        <v>0</v>
      </c>
      <c r="U13" s="12">
        <f>SUBTOTAL(103,[19])</f>
        <v>0</v>
      </c>
      <c r="V13" s="12">
        <f>SUBTOTAL(103,[20])</f>
        <v>0</v>
      </c>
      <c r="W13" s="12">
        <f>SUBTOTAL(103,[21])</f>
        <v>0</v>
      </c>
      <c r="X13" s="12">
        <f>SUBTOTAL(103,[22])</f>
        <v>0</v>
      </c>
      <c r="Y13" s="12">
        <f>SUBTOTAL(103,[23])</f>
        <v>0</v>
      </c>
      <c r="Z13" s="12">
        <f>SUBTOTAL(103,[24])</f>
        <v>0</v>
      </c>
      <c r="AA13" s="12">
        <f>SUBTOTAL(103,[25])</f>
        <v>0</v>
      </c>
      <c r="AB13" s="12">
        <f>SUBTOTAL(103,[26])</f>
        <v>0</v>
      </c>
      <c r="AC13" s="12">
        <f>SUBTOTAL(103,[27])</f>
        <v>0</v>
      </c>
      <c r="AD13" s="12">
        <f>SUBTOTAL(103,[28])</f>
        <v>0</v>
      </c>
      <c r="AE13" s="12">
        <f>SUBTOTAL(103,[29])</f>
        <v>0</v>
      </c>
      <c r="AF13" s="12">
        <f>SUBTOTAL(103,[30])</f>
        <v>0</v>
      </c>
      <c r="AG13" s="12">
        <f>SUBTOTAL(103,[31])</f>
        <v>0</v>
      </c>
      <c r="AH13" s="12">
        <f>SUBTOTAL(109,[Travaillé])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401" priority="5" stopIfTrue="1">
      <formula>C7=CléPersonnalisée2</formula>
    </cfRule>
    <cfRule type="expression" dxfId="400" priority="6" stopIfTrue="1">
      <formula>C7=CléPersonnalisée1</formula>
    </cfRule>
    <cfRule type="expression" dxfId="399" priority="7" stopIfTrue="1">
      <formula>C7=CléMaladie</formula>
    </cfRule>
    <cfRule type="expression" dxfId="398" priority="8" stopIfTrue="1">
      <formula>C7=CléCongés</formula>
    </cfRule>
    <cfRule type="expression" dxfId="397"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{5F937125-2BA2-480C-B9F6-8B77FA585C48}</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{B57C6024-0395-44AF-B67A-D5EF8F343131}</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{9B863C61-1B1E-486A-AC37-605C489D8BDA}</x14:id>
        </ext>
      </extLst>
    </cfRule>
  </conditionalFormatting>
  <dataValidations count="13">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Suivez les absences du mois d’août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F937125-2BA2-480C-B9F6-8B77FA585C48}">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B57C6024-0395-44AF-B67A-D5EF8F343131}">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9B863C61-1B1E-486A-AC37-605C489D8BDA}">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9.xml><?xml version="1.0" encoding="utf-8"?>
<worksheet xmlns="http://schemas.openxmlformats.org/spreadsheetml/2006/main" xmlns:r="http://schemas.openxmlformats.org/officeDocument/2006/relationships">
  <sheetPr>
    <tabColor theme="2" tint="-0.499984740745262"/>
  </sheetPr>
  <dimension ref="A1:AK13"/>
  <sheetViews>
    <sheetView showGridLines="0" topLeftCell="C1" workbookViewId="0">
      <selection activeCell="AH7" sqref="AH7:AK12"/>
    </sheetView>
  </sheetViews>
  <sheetFormatPr baseColWidth="10" defaultColWidth="9.140625" defaultRowHeight="30" customHeight="1"/>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c r="B1" s="13" t="str">
        <f>Titre_Absence_Employé</f>
        <v>Calendrier  des employés</v>
      </c>
    </row>
    <row r="2" spans="2:37" ht="15" customHeight="1">
      <c r="B2" s="17" t="s">
        <v>0</v>
      </c>
      <c r="C2" s="4" t="s">
        <v>8</v>
      </c>
      <c r="D2" s="60" t="s">
        <v>11</v>
      </c>
      <c r="E2" s="60"/>
      <c r="F2" s="5" t="s">
        <v>14</v>
      </c>
      <c r="G2" s="60" t="s">
        <v>18</v>
      </c>
      <c r="H2" s="60"/>
      <c r="I2" s="60"/>
      <c r="J2" s="6" t="s">
        <v>16</v>
      </c>
      <c r="K2" s="60" t="s">
        <v>23</v>
      </c>
      <c r="L2" s="60"/>
      <c r="M2" s="7"/>
      <c r="N2" s="60" t="s">
        <v>27</v>
      </c>
      <c r="O2" s="60"/>
      <c r="P2" s="60"/>
      <c r="Q2" s="60"/>
      <c r="R2" s="8"/>
      <c r="S2" s="60" t="s">
        <v>32</v>
      </c>
      <c r="T2" s="60"/>
      <c r="U2" s="60"/>
      <c r="V2" s="60"/>
    </row>
    <row r="3" spans="2:37" ht="15" customHeight="1">
      <c r="B3" s="13"/>
    </row>
    <row r="4" spans="2:37" ht="30" customHeight="1">
      <c r="B4" s="11" t="s">
        <v>58</v>
      </c>
      <c r="C4" s="58" t="s">
        <v>9</v>
      </c>
      <c r="D4" s="58"/>
      <c r="E4" s="58"/>
      <c r="F4" s="58"/>
      <c r="G4" s="58"/>
      <c r="H4" s="58"/>
      <c r="I4" s="58"/>
      <c r="J4" s="58"/>
      <c r="K4" s="58"/>
      <c r="L4" s="58"/>
      <c r="M4" s="58"/>
      <c r="N4" s="58"/>
      <c r="O4" s="58"/>
      <c r="P4" s="58"/>
      <c r="Q4" s="58"/>
      <c r="R4" s="58"/>
      <c r="S4" s="58"/>
      <c r="T4" s="58"/>
      <c r="U4" s="58"/>
      <c r="V4" s="58"/>
      <c r="W4" s="58"/>
      <c r="X4" s="58"/>
      <c r="Y4" s="58"/>
      <c r="Z4" s="58"/>
      <c r="AA4" s="58"/>
      <c r="AB4" s="58"/>
      <c r="AC4" s="58"/>
      <c r="AD4" s="58"/>
      <c r="AE4" s="58"/>
      <c r="AF4" s="58"/>
      <c r="AG4" s="58"/>
      <c r="AH4" s="11">
        <f>AnnéeCalendrier</f>
        <v>2019</v>
      </c>
      <c r="AI4" s="21"/>
      <c r="AJ4" s="21"/>
      <c r="AK4" s="21"/>
    </row>
    <row r="5" spans="2:37" ht="15" customHeight="1">
      <c r="B5" s="11"/>
      <c r="C5" s="2" t="str">
        <f>TEXT(WEEKDAY(DATE(AnnéeCalendrier,9,1),1),"jjj")</f>
        <v>dim</v>
      </c>
      <c r="D5" s="2" t="str">
        <f>TEXT(WEEKDAY(DATE(AnnéeCalendrier,9,2),1),"jjj")</f>
        <v>lun</v>
      </c>
      <c r="E5" s="2" t="str">
        <f>TEXT(WEEKDAY(DATE(AnnéeCalendrier,9,3),1),"jjj")</f>
        <v>mar</v>
      </c>
      <c r="F5" s="2" t="str">
        <f>TEXT(WEEKDAY(DATE(AnnéeCalendrier,9,4),1),"jjj")</f>
        <v>mer</v>
      </c>
      <c r="G5" s="2" t="str">
        <f>TEXT(WEEKDAY(DATE(AnnéeCalendrier,9,5),1),"jjj")</f>
        <v>jeu</v>
      </c>
      <c r="H5" s="2" t="str">
        <f>TEXT(WEEKDAY(DATE(AnnéeCalendrier,9,6),1),"jjj")</f>
        <v>ven</v>
      </c>
      <c r="I5" s="2" t="str">
        <f>TEXT(WEEKDAY(DATE(AnnéeCalendrier,9,7),1),"jjj")</f>
        <v>sam</v>
      </c>
      <c r="J5" s="2" t="str">
        <f>TEXT(WEEKDAY(DATE(AnnéeCalendrier,9,8),1),"jjj")</f>
        <v>dim</v>
      </c>
      <c r="K5" s="2" t="str">
        <f>TEXT(WEEKDAY(DATE(AnnéeCalendrier,9,9),1),"jjj")</f>
        <v>lun</v>
      </c>
      <c r="L5" s="2" t="str">
        <f>TEXT(WEEKDAY(DATE(AnnéeCalendrier,9,10),1),"jjj")</f>
        <v>mar</v>
      </c>
      <c r="M5" s="2" t="str">
        <f>TEXT(WEEKDAY(DATE(AnnéeCalendrier,9,11),1),"jjj")</f>
        <v>mer</v>
      </c>
      <c r="N5" s="2" t="str">
        <f>TEXT(WEEKDAY(DATE(AnnéeCalendrier,9,12),1),"jjj")</f>
        <v>jeu</v>
      </c>
      <c r="O5" s="2" t="str">
        <f>TEXT(WEEKDAY(DATE(AnnéeCalendrier,9,13),1),"jjj")</f>
        <v>ven</v>
      </c>
      <c r="P5" s="2" t="str">
        <f>TEXT(WEEKDAY(DATE(AnnéeCalendrier,9,14),1),"jjj")</f>
        <v>sam</v>
      </c>
      <c r="Q5" s="2" t="str">
        <f>TEXT(WEEKDAY(DATE(AnnéeCalendrier,9,15),1),"jjj")</f>
        <v>dim</v>
      </c>
      <c r="R5" s="2" t="str">
        <f>TEXT(WEEKDAY(DATE(AnnéeCalendrier,9,16),1),"jjj")</f>
        <v>lun</v>
      </c>
      <c r="S5" s="2" t="str">
        <f>TEXT(WEEKDAY(DATE(AnnéeCalendrier,9,17),1),"jjj")</f>
        <v>mar</v>
      </c>
      <c r="T5" s="2" t="str">
        <f>TEXT(WEEKDAY(DATE(AnnéeCalendrier,9,18),1),"jjj")</f>
        <v>mer</v>
      </c>
      <c r="U5" s="2" t="str">
        <f>TEXT(WEEKDAY(DATE(AnnéeCalendrier,9,19),1),"jjj")</f>
        <v>jeu</v>
      </c>
      <c r="V5" s="2" t="str">
        <f>TEXT(WEEKDAY(DATE(AnnéeCalendrier,9,20),1),"jjj")</f>
        <v>ven</v>
      </c>
      <c r="W5" s="2" t="str">
        <f>TEXT(WEEKDAY(DATE(AnnéeCalendrier,9,21),1),"jjj")</f>
        <v>sam</v>
      </c>
      <c r="X5" s="2" t="str">
        <f>TEXT(WEEKDAY(DATE(AnnéeCalendrier,9,22),1),"jjj")</f>
        <v>dim</v>
      </c>
      <c r="Y5" s="2" t="str">
        <f>TEXT(WEEKDAY(DATE(AnnéeCalendrier,9,23),1),"jjj")</f>
        <v>lun</v>
      </c>
      <c r="Z5" s="2" t="str">
        <f>TEXT(WEEKDAY(DATE(AnnéeCalendrier,9,24),1),"jjj")</f>
        <v>mar</v>
      </c>
      <c r="AA5" s="2" t="str">
        <f>TEXT(WEEKDAY(DATE(AnnéeCalendrier,9,25),1),"jjj")</f>
        <v>mer</v>
      </c>
      <c r="AB5" s="2" t="str">
        <f>TEXT(WEEKDAY(DATE(AnnéeCalendrier,9,26),1),"jjj")</f>
        <v>jeu</v>
      </c>
      <c r="AC5" s="2" t="str">
        <f>TEXT(WEEKDAY(DATE(AnnéeCalendrier,9,27),1),"jjj")</f>
        <v>ven</v>
      </c>
      <c r="AD5" s="2" t="str">
        <f>TEXT(WEEKDAY(DATE(AnnéeCalendrier,9,28),1),"jjj")</f>
        <v>sam</v>
      </c>
      <c r="AE5" s="2" t="str">
        <f>TEXT(WEEKDAY(DATE(AnnéeCalendrier,9,29),1),"jjj")</f>
        <v>dim</v>
      </c>
      <c r="AF5" s="2" t="str">
        <f>TEXT(WEEKDAY(DATE(AnnéeCalendrier,9,30),1),"jjj")</f>
        <v>lun</v>
      </c>
      <c r="AG5" s="2"/>
      <c r="AH5" s="11"/>
      <c r="AI5" s="21"/>
      <c r="AJ5" s="21"/>
      <c r="AK5" s="21"/>
    </row>
    <row r="6" spans="2:37" ht="15" customHeight="1">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50</v>
      </c>
      <c r="AH6" s="4" t="s">
        <v>64</v>
      </c>
      <c r="AI6" s="7" t="s">
        <v>65</v>
      </c>
      <c r="AJ6" s="6" t="s">
        <v>23</v>
      </c>
      <c r="AK6" s="5" t="s">
        <v>18</v>
      </c>
    </row>
    <row r="7" spans="2:37" ht="30" customHeight="1">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c r="B12" s="23"/>
      <c r="AH12" s="12"/>
      <c r="AI12" s="12"/>
      <c r="AJ12" s="12"/>
      <c r="AK12" s="12"/>
    </row>
    <row r="13" spans="2:37" ht="30" customHeight="1">
      <c r="B13" s="18" t="str">
        <f>NomMois&amp;" Total"</f>
        <v>Septembre Total</v>
      </c>
      <c r="C13" s="12">
        <f>SUBTOTAL(103,[1])</f>
        <v>0</v>
      </c>
      <c r="D13" s="12">
        <f>SUBTOTAL(103,[2])</f>
        <v>0</v>
      </c>
      <c r="E13" s="12">
        <f>SUBTOTAL(103,[3])</f>
        <v>0</v>
      </c>
      <c r="F13" s="12">
        <f>SUBTOTAL(103,[4])</f>
        <v>0</v>
      </c>
      <c r="G13" s="12">
        <f>SUBTOTAL(103,[5])</f>
        <v>0</v>
      </c>
      <c r="H13" s="12">
        <f>SUBTOTAL(103,[6])</f>
        <v>0</v>
      </c>
      <c r="I13" s="12">
        <f>SUBTOTAL(103,[7])</f>
        <v>0</v>
      </c>
      <c r="J13" s="12">
        <f>SUBTOTAL(103,[8])</f>
        <v>0</v>
      </c>
      <c r="K13" s="12">
        <f>SUBTOTAL(103,[9])</f>
        <v>0</v>
      </c>
      <c r="L13" s="12">
        <f>SUBTOTAL(103,[10])</f>
        <v>0</v>
      </c>
      <c r="M13" s="12">
        <f>SUBTOTAL(103,[11])</f>
        <v>0</v>
      </c>
      <c r="N13" s="12">
        <f>SUBTOTAL(103,[12])</f>
        <v>0</v>
      </c>
      <c r="O13" s="12">
        <f>SUBTOTAL(103,[13])</f>
        <v>0</v>
      </c>
      <c r="P13" s="12">
        <f>SUBTOTAL(103,[14])</f>
        <v>0</v>
      </c>
      <c r="Q13" s="12">
        <f>SUBTOTAL(103,[15])</f>
        <v>0</v>
      </c>
      <c r="R13" s="12">
        <f>SUBTOTAL(103,[16])</f>
        <v>0</v>
      </c>
      <c r="S13" s="12">
        <f>SUBTOTAL(103,[17])</f>
        <v>0</v>
      </c>
      <c r="T13" s="12">
        <f>SUBTOTAL(103,[18])</f>
        <v>0</v>
      </c>
      <c r="U13" s="12">
        <f>SUBTOTAL(103,[19])</f>
        <v>0</v>
      </c>
      <c r="V13" s="12">
        <f>SUBTOTAL(103,[20])</f>
        <v>0</v>
      </c>
      <c r="W13" s="12">
        <f>SUBTOTAL(103,[21])</f>
        <v>0</v>
      </c>
      <c r="X13" s="12">
        <f>SUBTOTAL(103,[22])</f>
        <v>0</v>
      </c>
      <c r="Y13" s="12">
        <f>SUBTOTAL(103,[23])</f>
        <v>0</v>
      </c>
      <c r="Z13" s="12">
        <f>SUBTOTAL(103,[24])</f>
        <v>0</v>
      </c>
      <c r="AA13" s="12">
        <f>SUBTOTAL(103,[25])</f>
        <v>0</v>
      </c>
      <c r="AB13" s="12">
        <f>SUBTOTAL(103,[26])</f>
        <v>0</v>
      </c>
      <c r="AC13" s="12">
        <f>SUBTOTAL(103,[27])</f>
        <v>0</v>
      </c>
      <c r="AD13" s="12">
        <f>SUBTOTAL(103,[28])</f>
        <v>0</v>
      </c>
      <c r="AE13" s="12">
        <f>SUBTOTAL(103,[29])</f>
        <v>0</v>
      </c>
      <c r="AF13" s="12">
        <f>SUBTOTAL(103,[30])</f>
        <v>0</v>
      </c>
      <c r="AG13" s="12">
        <f>SUBTOTAL(103,[[ ]])</f>
        <v>0</v>
      </c>
      <c r="AH13" s="12">
        <f>SUBTOTAL(109,[Travaillé])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321" priority="5" stopIfTrue="1">
      <formula>C7=CléPersonnalisée2</formula>
    </cfRule>
    <cfRule type="expression" dxfId="320" priority="6" stopIfTrue="1">
      <formula>C7=CléPersonnalisée1</formula>
    </cfRule>
    <cfRule type="expression" dxfId="319" priority="7" stopIfTrue="1">
      <formula>C7=CléMaladie</formula>
    </cfRule>
    <cfRule type="expression" dxfId="318" priority="8" stopIfTrue="1">
      <formula>C7=CléCongés</formula>
    </cfRule>
    <cfRule type="expression" dxfId="317"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{20DE75E8-6F12-4584-A15E-36CD0DC111A5}</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{577B96AE-9991-439D-8FED-8FF366FBE0A8}</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{F0700942-D44D-4F9C-87E5-EE825BB2A440}</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septembre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0DE75E8-6F12-4584-A15E-36CD0DC111A5}">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577B96AE-9991-439D-8FED-8FF366FBE0A8}">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F0700942-D44D-4F9C-87E5-EE825BB2A440}">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10.xml><?xml version="1.0" encoding="utf-8"?>
<worksheet xmlns="http://schemas.openxmlformats.org/spreadsheetml/2006/main" xmlns:r="http://schemas.openxmlformats.org/officeDocument/2006/relationships">
  <sheetPr>
    <tabColor theme="2" tint="-0.249977111117893"/>
  </sheetPr>
  <dimension ref="A1:AK13"/>
  <sheetViews>
    <sheetView showGridLines="0" topLeftCell="C1" workbookViewId="0">
      <selection activeCell="AH7" sqref="AH7:AK12"/>
    </sheetView>
  </sheetViews>
  <sheetFormatPr baseColWidth="10" defaultColWidth="9.140625" defaultRowHeight="30" customHeight="1"/>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c r="B1" s="13" t="str">
        <f>Titre_Absence_Employé</f>
        <v>Calendrier  des employés</v>
      </c>
    </row>
    <row r="2" spans="2:37" ht="15" customHeight="1">
      <c r="B2" s="17" t="s">
        <v>0</v>
      </c>
      <c r="C2" s="4" t="s">
        <v>8</v>
      </c>
      <c r="D2" s="60" t="s">
        <v>11</v>
      </c>
      <c r="E2" s="60"/>
      <c r="F2" s="5" t="s">
        <v>14</v>
      </c>
      <c r="G2" s="60" t="s">
        <v>18</v>
      </c>
      <c r="H2" s="60"/>
      <c r="I2" s="60"/>
      <c r="J2" s="6" t="s">
        <v>16</v>
      </c>
      <c r="K2" s="60" t="s">
        <v>23</v>
      </c>
      <c r="L2" s="60"/>
      <c r="M2" s="7"/>
      <c r="N2" s="60" t="s">
        <v>27</v>
      </c>
      <c r="O2" s="60"/>
      <c r="P2" s="60"/>
      <c r="Q2" s="60"/>
      <c r="R2" s="8"/>
      <c r="S2" s="60" t="s">
        <v>32</v>
      </c>
      <c r="T2" s="60"/>
      <c r="U2" s="60"/>
      <c r="V2" s="60"/>
    </row>
    <row r="3" spans="2:37" ht="15" customHeight="1">
      <c r="B3" s="13"/>
    </row>
    <row r="4" spans="2:37" ht="30" customHeight="1">
      <c r="B4" s="11" t="s">
        <v>59</v>
      </c>
      <c r="C4" s="58" t="s">
        <v>9</v>
      </c>
      <c r="D4" s="58"/>
      <c r="E4" s="58"/>
      <c r="F4" s="58"/>
      <c r="G4" s="58"/>
      <c r="H4" s="58"/>
      <c r="I4" s="58"/>
      <c r="J4" s="58"/>
      <c r="K4" s="58"/>
      <c r="L4" s="58"/>
      <c r="M4" s="58"/>
      <c r="N4" s="58"/>
      <c r="O4" s="58"/>
      <c r="P4" s="58"/>
      <c r="Q4" s="58"/>
      <c r="R4" s="58"/>
      <c r="S4" s="58"/>
      <c r="T4" s="58"/>
      <c r="U4" s="58"/>
      <c r="V4" s="58"/>
      <c r="W4" s="58"/>
      <c r="X4" s="58"/>
      <c r="Y4" s="58"/>
      <c r="Z4" s="58"/>
      <c r="AA4" s="58"/>
      <c r="AB4" s="58"/>
      <c r="AC4" s="58"/>
      <c r="AD4" s="58"/>
      <c r="AE4" s="58"/>
      <c r="AF4" s="58"/>
      <c r="AG4" s="58"/>
      <c r="AH4" s="11">
        <f>AnnéeCalendrier</f>
        <v>2019</v>
      </c>
      <c r="AI4" s="21"/>
      <c r="AJ4" s="21"/>
      <c r="AK4" s="21"/>
    </row>
    <row r="5" spans="2:37" ht="15" customHeight="1">
      <c r="B5" s="11"/>
      <c r="C5" s="2" t="str">
        <f>TEXT(WEEKDAY(DATE(AnnéeCalendrier,10,1),1),"jjj")</f>
        <v>mar</v>
      </c>
      <c r="D5" s="2" t="str">
        <f>TEXT(WEEKDAY(DATE(AnnéeCalendrier,10,2),1),"jjj")</f>
        <v>mer</v>
      </c>
      <c r="E5" s="2" t="str">
        <f>TEXT(WEEKDAY(DATE(AnnéeCalendrier,10,3),1),"jjj")</f>
        <v>jeu</v>
      </c>
      <c r="F5" s="2" t="str">
        <f>TEXT(WEEKDAY(DATE(AnnéeCalendrier,10,4),1),"jjj")</f>
        <v>ven</v>
      </c>
      <c r="G5" s="2" t="str">
        <f>TEXT(WEEKDAY(DATE(AnnéeCalendrier,10,5),1),"jjj")</f>
        <v>sam</v>
      </c>
      <c r="H5" s="2" t="str">
        <f>TEXT(WEEKDAY(DATE(AnnéeCalendrier,10,6),1),"jjj")</f>
        <v>dim</v>
      </c>
      <c r="I5" s="2" t="str">
        <f>TEXT(WEEKDAY(DATE(AnnéeCalendrier,10,7),1),"jjj")</f>
        <v>lun</v>
      </c>
      <c r="J5" s="2" t="str">
        <f>TEXT(WEEKDAY(DATE(AnnéeCalendrier,10,8),1),"jjj")</f>
        <v>mar</v>
      </c>
      <c r="K5" s="2" t="str">
        <f>TEXT(WEEKDAY(DATE(AnnéeCalendrier,10,9),1),"jjj")</f>
        <v>mer</v>
      </c>
      <c r="L5" s="2" t="str">
        <f>TEXT(WEEKDAY(DATE(AnnéeCalendrier,10,10),1),"jjj")</f>
        <v>jeu</v>
      </c>
      <c r="M5" s="2" t="str">
        <f>TEXT(WEEKDAY(DATE(AnnéeCalendrier,10,11),1),"jjj")</f>
        <v>ven</v>
      </c>
      <c r="N5" s="2" t="str">
        <f>TEXT(WEEKDAY(DATE(AnnéeCalendrier,10,12),1),"jjj")</f>
        <v>sam</v>
      </c>
      <c r="O5" s="2" t="str">
        <f>TEXT(WEEKDAY(DATE(AnnéeCalendrier,10,13),1),"jjj")</f>
        <v>dim</v>
      </c>
      <c r="P5" s="2" t="str">
        <f>TEXT(WEEKDAY(DATE(AnnéeCalendrier,10,14),1),"jjj")</f>
        <v>lun</v>
      </c>
      <c r="Q5" s="2" t="str">
        <f>TEXT(WEEKDAY(DATE(AnnéeCalendrier,10,15),1),"jjj")</f>
        <v>mar</v>
      </c>
      <c r="R5" s="2" t="str">
        <f>TEXT(WEEKDAY(DATE(AnnéeCalendrier,10,16),1),"jjj")</f>
        <v>mer</v>
      </c>
      <c r="S5" s="2" t="str">
        <f>TEXT(WEEKDAY(DATE(AnnéeCalendrier,10,17),1),"jjj")</f>
        <v>jeu</v>
      </c>
      <c r="T5" s="2" t="str">
        <f>TEXT(WEEKDAY(DATE(AnnéeCalendrier,10,18),1),"jjj")</f>
        <v>ven</v>
      </c>
      <c r="U5" s="2" t="str">
        <f>TEXT(WEEKDAY(DATE(AnnéeCalendrier,10,19),1),"jjj")</f>
        <v>sam</v>
      </c>
      <c r="V5" s="2" t="str">
        <f>TEXT(WEEKDAY(DATE(AnnéeCalendrier,10,20),1),"jjj")</f>
        <v>dim</v>
      </c>
      <c r="W5" s="2" t="str">
        <f>TEXT(WEEKDAY(DATE(AnnéeCalendrier,10,21),1),"jjj")</f>
        <v>lun</v>
      </c>
      <c r="X5" s="2" t="str">
        <f>TEXT(WEEKDAY(DATE(AnnéeCalendrier,10,22),1),"jjj")</f>
        <v>mar</v>
      </c>
      <c r="Y5" s="2" t="str">
        <f>TEXT(WEEKDAY(DATE(AnnéeCalendrier,10,23),1),"jjj")</f>
        <v>mer</v>
      </c>
      <c r="Z5" s="2" t="str">
        <f>TEXT(WEEKDAY(DATE(AnnéeCalendrier,10,24),1),"jjj")</f>
        <v>jeu</v>
      </c>
      <c r="AA5" s="2" t="str">
        <f>TEXT(WEEKDAY(DATE(AnnéeCalendrier,10,25),1),"jjj")</f>
        <v>ven</v>
      </c>
      <c r="AB5" s="2" t="str">
        <f>TEXT(WEEKDAY(DATE(AnnéeCalendrier,10,26),1),"jjj")</f>
        <v>sam</v>
      </c>
      <c r="AC5" s="2" t="str">
        <f>TEXT(WEEKDAY(DATE(AnnéeCalendrier,10,27),1),"jjj")</f>
        <v>dim</v>
      </c>
      <c r="AD5" s="2" t="str">
        <f>TEXT(WEEKDAY(DATE(AnnéeCalendrier,10,28),1),"jjj")</f>
        <v>lun</v>
      </c>
      <c r="AE5" s="2" t="str">
        <f>TEXT(WEEKDAY(DATE(AnnéeCalendrier,10,29),1),"jjj")</f>
        <v>mar</v>
      </c>
      <c r="AF5" s="2" t="str">
        <f>TEXT(WEEKDAY(DATE(AnnéeCalendrier,10,30),1),"jjj")</f>
        <v>mer</v>
      </c>
      <c r="AG5" s="2" t="str">
        <f>TEXT(WEEKDAY(DATE(AnnéeCalendrier,10,31),1),"jjj")</f>
        <v>jeu</v>
      </c>
      <c r="AH5" s="11"/>
      <c r="AI5" s="21"/>
      <c r="AJ5" s="21"/>
      <c r="AK5" s="21"/>
    </row>
    <row r="6" spans="2:37" ht="15" customHeight="1">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2:37" ht="30" customHeight="1">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c r="B12" s="23"/>
      <c r="AH12" s="12"/>
      <c r="AI12" s="12"/>
      <c r="AJ12" s="12"/>
      <c r="AK12" s="12"/>
    </row>
    <row r="13" spans="2:37" ht="30" customHeight="1">
      <c r="B13" s="18" t="str">
        <f>NomMois&amp;" Total"</f>
        <v>Octobre Total</v>
      </c>
      <c r="C13" s="12">
        <f>SUBTOTAL(103,[1])</f>
        <v>0</v>
      </c>
      <c r="D13" s="12">
        <f>SUBTOTAL(103,[2])</f>
        <v>0</v>
      </c>
      <c r="E13" s="12">
        <f>SUBTOTAL(103,[3])</f>
        <v>0</v>
      </c>
      <c r="F13" s="12">
        <f>SUBTOTAL(103,[4])</f>
        <v>0</v>
      </c>
      <c r="G13" s="12">
        <f>SUBTOTAL(103,[5])</f>
        <v>0</v>
      </c>
      <c r="H13" s="12">
        <f>SUBTOTAL(103,[6])</f>
        <v>0</v>
      </c>
      <c r="I13" s="12">
        <f>SUBTOTAL(103,[7])</f>
        <v>0</v>
      </c>
      <c r="J13" s="12">
        <f>SUBTOTAL(103,[8])</f>
        <v>0</v>
      </c>
      <c r="K13" s="12">
        <f>SUBTOTAL(103,[9])</f>
        <v>0</v>
      </c>
      <c r="L13" s="12">
        <f>SUBTOTAL(103,[10])</f>
        <v>0</v>
      </c>
      <c r="M13" s="12">
        <f>SUBTOTAL(103,[11])</f>
        <v>0</v>
      </c>
      <c r="N13" s="12">
        <f>SUBTOTAL(103,[12])</f>
        <v>0</v>
      </c>
      <c r="O13" s="12">
        <f>SUBTOTAL(103,[13])</f>
        <v>0</v>
      </c>
      <c r="P13" s="12">
        <f>SUBTOTAL(103,[14])</f>
        <v>0</v>
      </c>
      <c r="Q13" s="12">
        <f>SUBTOTAL(103,[15])</f>
        <v>0</v>
      </c>
      <c r="R13" s="12">
        <f>SUBTOTAL(103,[16])</f>
        <v>0</v>
      </c>
      <c r="S13" s="12">
        <f>SUBTOTAL(103,[17])</f>
        <v>0</v>
      </c>
      <c r="T13" s="12">
        <f>SUBTOTAL(103,[18])</f>
        <v>0</v>
      </c>
      <c r="U13" s="12">
        <f>SUBTOTAL(103,[19])</f>
        <v>0</v>
      </c>
      <c r="V13" s="12">
        <f>SUBTOTAL(103,[20])</f>
        <v>0</v>
      </c>
      <c r="W13" s="12">
        <f>SUBTOTAL(103,[21])</f>
        <v>0</v>
      </c>
      <c r="X13" s="12">
        <f>SUBTOTAL(103,[22])</f>
        <v>0</v>
      </c>
      <c r="Y13" s="12">
        <f>SUBTOTAL(103,[23])</f>
        <v>0</v>
      </c>
      <c r="Z13" s="12">
        <f>SUBTOTAL(103,[24])</f>
        <v>0</v>
      </c>
      <c r="AA13" s="12">
        <f>SUBTOTAL(103,[25])</f>
        <v>0</v>
      </c>
      <c r="AB13" s="12">
        <f>SUBTOTAL(103,[26])</f>
        <v>0</v>
      </c>
      <c r="AC13" s="12">
        <f>SUBTOTAL(103,[27])</f>
        <v>0</v>
      </c>
      <c r="AD13" s="12">
        <f>SUBTOTAL(103,[28])</f>
        <v>0</v>
      </c>
      <c r="AE13" s="12">
        <f>SUBTOTAL(103,[29])</f>
        <v>0</v>
      </c>
      <c r="AF13" s="12">
        <f>SUBTOTAL(103,[30])</f>
        <v>0</v>
      </c>
      <c r="AG13" s="12">
        <f>SUBTOTAL(103,[31])</f>
        <v>0</v>
      </c>
      <c r="AH13" s="12">
        <f>SUBTOTAL(109,[Travaillé])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241" priority="5" stopIfTrue="1">
      <formula>C7=CléPersonnalisée2</formula>
    </cfRule>
    <cfRule type="expression" dxfId="240" priority="6" stopIfTrue="1">
      <formula>C7=CléPersonnalisée1</formula>
    </cfRule>
    <cfRule type="expression" dxfId="239" priority="7" stopIfTrue="1">
      <formula>C7=CléMaladie</formula>
    </cfRule>
    <cfRule type="expression" dxfId="238" priority="8" stopIfTrue="1">
      <formula>C7=CléCongés</formula>
    </cfRule>
    <cfRule type="expression" dxfId="237"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{6992A093-9FE3-43D4-8E59-3F15F7F0ED14}</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{44C3CE78-6326-4CC1-BF10-86664B3C90C9}</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{28EAD995-321B-4E5D-AD47-0E5114CB08CE}</x14:id>
        </ext>
      </extLst>
    </cfRule>
  </conditionalFormatting>
  <dataValidations count="13">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Suivez les absences du mois d’octo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6992A093-9FE3-43D4-8E59-3F15F7F0ED14}">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44C3CE78-6326-4CC1-BF10-86664B3C90C9}">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28EAD995-321B-4E5D-AD47-0E5114CB08CE}">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11.xml><?xml version="1.0" encoding="utf-8"?>
<worksheet xmlns="http://schemas.openxmlformats.org/spreadsheetml/2006/main" xmlns:r="http://schemas.openxmlformats.org/officeDocument/2006/relationships">
  <sheetPr>
    <tabColor theme="2" tint="-0.249977111117893"/>
  </sheetPr>
  <dimension ref="A1:AK13"/>
  <sheetViews>
    <sheetView showGridLines="0" topLeftCell="C1" workbookViewId="0">
      <selection activeCell="AH7" sqref="AH7:AK12"/>
    </sheetView>
  </sheetViews>
  <sheetFormatPr baseColWidth="10" defaultColWidth="9.140625" defaultRowHeight="30" customHeight="1"/>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c r="B1" s="13" t="str">
        <f>Titre_Absence_Employé</f>
        <v>Calendrier  des employés</v>
      </c>
    </row>
    <row r="2" spans="2:37" ht="15" customHeight="1">
      <c r="B2" s="17" t="s">
        <v>0</v>
      </c>
      <c r="C2" s="4" t="s">
        <v>8</v>
      </c>
      <c r="D2" s="60" t="s">
        <v>11</v>
      </c>
      <c r="E2" s="60"/>
      <c r="F2" s="5" t="s">
        <v>14</v>
      </c>
      <c r="G2" s="60" t="s">
        <v>18</v>
      </c>
      <c r="H2" s="60"/>
      <c r="I2" s="60"/>
      <c r="J2" s="6" t="s">
        <v>16</v>
      </c>
      <c r="K2" s="60" t="s">
        <v>23</v>
      </c>
      <c r="L2" s="60"/>
      <c r="M2" s="7"/>
      <c r="N2" s="60" t="s">
        <v>27</v>
      </c>
      <c r="O2" s="60"/>
      <c r="P2" s="60"/>
      <c r="Q2" s="60"/>
      <c r="R2" s="8"/>
      <c r="S2" s="60" t="s">
        <v>32</v>
      </c>
      <c r="T2" s="60"/>
      <c r="U2" s="60"/>
      <c r="V2" s="60"/>
    </row>
    <row r="3" spans="2:37" ht="15" customHeight="1">
      <c r="B3" s="13"/>
    </row>
    <row r="4" spans="2:37" ht="30" customHeight="1">
      <c r="B4" s="11" t="s">
        <v>60</v>
      </c>
      <c r="C4" s="58" t="s">
        <v>9</v>
      </c>
      <c r="D4" s="58"/>
      <c r="E4" s="58"/>
      <c r="F4" s="58"/>
      <c r="G4" s="58"/>
      <c r="H4" s="58"/>
      <c r="I4" s="58"/>
      <c r="J4" s="58"/>
      <c r="K4" s="58"/>
      <c r="L4" s="58"/>
      <c r="M4" s="58"/>
      <c r="N4" s="58"/>
      <c r="O4" s="58"/>
      <c r="P4" s="58"/>
      <c r="Q4" s="58"/>
      <c r="R4" s="58"/>
      <c r="S4" s="58"/>
      <c r="T4" s="58"/>
      <c r="U4" s="58"/>
      <c r="V4" s="58"/>
      <c r="W4" s="58"/>
      <c r="X4" s="58"/>
      <c r="Y4" s="58"/>
      <c r="Z4" s="58"/>
      <c r="AA4" s="58"/>
      <c r="AB4" s="58"/>
      <c r="AC4" s="58"/>
      <c r="AD4" s="58"/>
      <c r="AE4" s="58"/>
      <c r="AF4" s="58"/>
      <c r="AG4" s="58"/>
      <c r="AH4" s="11">
        <f>AnnéeCalendrier</f>
        <v>2019</v>
      </c>
      <c r="AI4" s="21"/>
      <c r="AJ4" s="21"/>
      <c r="AK4" s="21"/>
    </row>
    <row r="5" spans="2:37" ht="15" customHeight="1">
      <c r="B5" s="11"/>
      <c r="C5" s="2" t="str">
        <f>TEXT(WEEKDAY(DATE(AnnéeCalendrier,11,1),1),"jjj")</f>
        <v>ven</v>
      </c>
      <c r="D5" s="2" t="str">
        <f>TEXT(WEEKDAY(DATE(AnnéeCalendrier,11,2),1),"jjj")</f>
        <v>sam</v>
      </c>
      <c r="E5" s="2" t="str">
        <f>TEXT(WEEKDAY(DATE(AnnéeCalendrier,11,3),1),"jjj")</f>
        <v>dim</v>
      </c>
      <c r="F5" s="2" t="str">
        <f>TEXT(WEEKDAY(DATE(AnnéeCalendrier,11,4),1),"jjj")</f>
        <v>lun</v>
      </c>
      <c r="G5" s="2" t="str">
        <f>TEXT(WEEKDAY(DATE(AnnéeCalendrier,11,5),1),"jjj")</f>
        <v>mar</v>
      </c>
      <c r="H5" s="2" t="str">
        <f>TEXT(WEEKDAY(DATE(AnnéeCalendrier,11,6),1),"jjj")</f>
        <v>mer</v>
      </c>
      <c r="I5" s="2" t="str">
        <f>TEXT(WEEKDAY(DATE(AnnéeCalendrier,11,7),1),"jjj")</f>
        <v>jeu</v>
      </c>
      <c r="J5" s="2" t="str">
        <f>TEXT(WEEKDAY(DATE(AnnéeCalendrier,11,8),1),"jjj")</f>
        <v>ven</v>
      </c>
      <c r="K5" s="2" t="str">
        <f>TEXT(WEEKDAY(DATE(AnnéeCalendrier,11,9),1),"jjj")</f>
        <v>sam</v>
      </c>
      <c r="L5" s="2" t="str">
        <f>TEXT(WEEKDAY(DATE(AnnéeCalendrier,11,10),1),"jjj")</f>
        <v>dim</v>
      </c>
      <c r="M5" s="2" t="str">
        <f>TEXT(WEEKDAY(DATE(AnnéeCalendrier,11,11),1),"jjj")</f>
        <v>lun</v>
      </c>
      <c r="N5" s="2" t="str">
        <f>TEXT(WEEKDAY(DATE(AnnéeCalendrier,11,12),1),"jjj")</f>
        <v>mar</v>
      </c>
      <c r="O5" s="2" t="str">
        <f>TEXT(WEEKDAY(DATE(AnnéeCalendrier,11,13),1),"jjj")</f>
        <v>mer</v>
      </c>
      <c r="P5" s="2" t="str">
        <f>TEXT(WEEKDAY(DATE(AnnéeCalendrier,11,14),1),"jjj")</f>
        <v>jeu</v>
      </c>
      <c r="Q5" s="2" t="str">
        <f>TEXT(WEEKDAY(DATE(AnnéeCalendrier,11,15),1),"jjj")</f>
        <v>ven</v>
      </c>
      <c r="R5" s="2" t="str">
        <f>TEXT(WEEKDAY(DATE(AnnéeCalendrier,11,16),1),"jjj")</f>
        <v>sam</v>
      </c>
      <c r="S5" s="2" t="str">
        <f>TEXT(WEEKDAY(DATE(AnnéeCalendrier,11,17),1),"jjj")</f>
        <v>dim</v>
      </c>
      <c r="T5" s="2" t="str">
        <f>TEXT(WEEKDAY(DATE(AnnéeCalendrier,11,18),1),"jjj")</f>
        <v>lun</v>
      </c>
      <c r="U5" s="2" t="str">
        <f>TEXT(WEEKDAY(DATE(AnnéeCalendrier,11,19),1),"jjj")</f>
        <v>mar</v>
      </c>
      <c r="V5" s="2" t="str">
        <f>TEXT(WEEKDAY(DATE(AnnéeCalendrier,11,20),1),"jjj")</f>
        <v>mer</v>
      </c>
      <c r="W5" s="2" t="str">
        <f>TEXT(WEEKDAY(DATE(AnnéeCalendrier,11,21),1),"jjj")</f>
        <v>jeu</v>
      </c>
      <c r="X5" s="2" t="str">
        <f>TEXT(WEEKDAY(DATE(AnnéeCalendrier,11,22),1),"jjj")</f>
        <v>ven</v>
      </c>
      <c r="Y5" s="2" t="str">
        <f>TEXT(WEEKDAY(DATE(AnnéeCalendrier,11,23),1),"jjj")</f>
        <v>sam</v>
      </c>
      <c r="Z5" s="2" t="str">
        <f>TEXT(WEEKDAY(DATE(AnnéeCalendrier,11,24),1),"jjj")</f>
        <v>dim</v>
      </c>
      <c r="AA5" s="2" t="str">
        <f>TEXT(WEEKDAY(DATE(AnnéeCalendrier,11,25),1),"jjj")</f>
        <v>lun</v>
      </c>
      <c r="AB5" s="2" t="str">
        <f>TEXT(WEEKDAY(DATE(AnnéeCalendrier,11,26),1),"jjj")</f>
        <v>mar</v>
      </c>
      <c r="AC5" s="2" t="str">
        <f>TEXT(WEEKDAY(DATE(AnnéeCalendrier,11,27),1),"jjj")</f>
        <v>mer</v>
      </c>
      <c r="AD5" s="2" t="str">
        <f>TEXT(WEEKDAY(DATE(AnnéeCalendrier,11,28),1),"jjj")</f>
        <v>jeu</v>
      </c>
      <c r="AE5" s="2" t="str">
        <f>TEXT(WEEKDAY(DATE(AnnéeCalendrier,11,29),1),"jjj")</f>
        <v>ven</v>
      </c>
      <c r="AF5" s="2" t="str">
        <f>TEXT(WEEKDAY(DATE(AnnéeCalendrier,11,30),1),"jjj")</f>
        <v>sam</v>
      </c>
      <c r="AG5" s="2"/>
      <c r="AH5" s="11"/>
      <c r="AI5" s="21"/>
      <c r="AJ5" s="21"/>
      <c r="AK5" s="21"/>
    </row>
    <row r="6" spans="2:37" ht="15" customHeight="1">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50</v>
      </c>
      <c r="AH6" s="4" t="s">
        <v>64</v>
      </c>
      <c r="AI6" s="7" t="s">
        <v>65</v>
      </c>
      <c r="AJ6" s="6" t="s">
        <v>23</v>
      </c>
      <c r="AK6" s="5" t="s">
        <v>18</v>
      </c>
    </row>
    <row r="7" spans="2:37" ht="30" customHeight="1">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c r="B12" s="23"/>
      <c r="AH12" s="12"/>
      <c r="AI12" s="12"/>
      <c r="AJ12" s="12"/>
      <c r="AK12" s="12"/>
    </row>
    <row r="13" spans="2:37" ht="30" customHeight="1">
      <c r="B13" s="18" t="str">
        <f>NomMois&amp;" Total"</f>
        <v>Novembre Total</v>
      </c>
      <c r="C13" s="12">
        <f>SUBTOTAL(103,[1])</f>
        <v>0</v>
      </c>
      <c r="D13" s="12">
        <f>SUBTOTAL(103,[2])</f>
        <v>0</v>
      </c>
      <c r="E13" s="12">
        <f>SUBTOTAL(103,[3])</f>
        <v>0</v>
      </c>
      <c r="F13" s="12">
        <f>SUBTOTAL(103,[4])</f>
        <v>0</v>
      </c>
      <c r="G13" s="12">
        <f>SUBTOTAL(103,[5])</f>
        <v>0</v>
      </c>
      <c r="H13" s="12">
        <f>SUBTOTAL(103,[6])</f>
        <v>0</v>
      </c>
      <c r="I13" s="12">
        <f>SUBTOTAL(103,[7])</f>
        <v>0</v>
      </c>
      <c r="J13" s="12">
        <f>SUBTOTAL(103,[8])</f>
        <v>0</v>
      </c>
      <c r="K13" s="12">
        <f>SUBTOTAL(103,[9])</f>
        <v>0</v>
      </c>
      <c r="L13" s="12">
        <f>SUBTOTAL(103,[10])</f>
        <v>0</v>
      </c>
      <c r="M13" s="12">
        <f>SUBTOTAL(103,[11])</f>
        <v>0</v>
      </c>
      <c r="N13" s="12">
        <f>SUBTOTAL(103,[12])</f>
        <v>0</v>
      </c>
      <c r="O13" s="12">
        <f>SUBTOTAL(103,[13])</f>
        <v>0</v>
      </c>
      <c r="P13" s="12">
        <f>SUBTOTAL(103,[14])</f>
        <v>0</v>
      </c>
      <c r="Q13" s="12">
        <f>SUBTOTAL(103,[15])</f>
        <v>0</v>
      </c>
      <c r="R13" s="12">
        <f>SUBTOTAL(103,[16])</f>
        <v>0</v>
      </c>
      <c r="S13" s="12">
        <f>SUBTOTAL(103,[17])</f>
        <v>0</v>
      </c>
      <c r="T13" s="12">
        <f>SUBTOTAL(103,[18])</f>
        <v>0</v>
      </c>
      <c r="U13" s="12">
        <f>SUBTOTAL(103,[19])</f>
        <v>0</v>
      </c>
      <c r="V13" s="12">
        <f>SUBTOTAL(103,[20])</f>
        <v>0</v>
      </c>
      <c r="W13" s="12">
        <f>SUBTOTAL(103,[21])</f>
        <v>0</v>
      </c>
      <c r="X13" s="12">
        <f>SUBTOTAL(103,[22])</f>
        <v>0</v>
      </c>
      <c r="Y13" s="12">
        <f>SUBTOTAL(103,[23])</f>
        <v>0</v>
      </c>
      <c r="Z13" s="12">
        <f>SUBTOTAL(103,[24])</f>
        <v>0</v>
      </c>
      <c r="AA13" s="12">
        <f>SUBTOTAL(103,[25])</f>
        <v>0</v>
      </c>
      <c r="AB13" s="12">
        <f>SUBTOTAL(103,[26])</f>
        <v>0</v>
      </c>
      <c r="AC13" s="12">
        <f>SUBTOTAL(103,[27])</f>
        <v>0</v>
      </c>
      <c r="AD13" s="12">
        <f>SUBTOTAL(103,[28])</f>
        <v>0</v>
      </c>
      <c r="AE13" s="12">
        <f>SUBTOTAL(103,[29])</f>
        <v>0</v>
      </c>
      <c r="AF13" s="12">
        <f>SUBTOTAL(103,[30])</f>
        <v>0</v>
      </c>
      <c r="AG13" s="12">
        <f>SUBTOTAL(103,[[ ]])</f>
        <v>0</v>
      </c>
      <c r="AH13" s="12">
        <f>SUBTOTAL(109,[Travaillé])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161" priority="5" stopIfTrue="1">
      <formula>C7=CléPersonnalisée2</formula>
    </cfRule>
    <cfRule type="expression" dxfId="160" priority="6" stopIfTrue="1">
      <formula>C7=CléPersonnalisée1</formula>
    </cfRule>
    <cfRule type="expression" dxfId="159" priority="7" stopIfTrue="1">
      <formula>C7=CléMaladie</formula>
    </cfRule>
    <cfRule type="expression" dxfId="158" priority="8" stopIfTrue="1">
      <formula>C7=CléCongés</formula>
    </cfRule>
    <cfRule type="expression" dxfId="157"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{46458AF7-BB96-4CA7-B306-CC75722DE0EB}</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{D53EB54C-D67E-46E6-84D0-BE4136BCF71E}</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{634C148B-F505-4744-B0C5-858D54E18439}</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novembre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6458AF7-BB96-4CA7-B306-CC75722DE0EB}">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D53EB54C-D67E-46E6-84D0-BE4136BCF71E}">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634C148B-F505-4744-B0C5-858D54E18439}">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12.xml><?xml version="1.0" encoding="utf-8"?>
<worksheet xmlns="http://schemas.openxmlformats.org/spreadsheetml/2006/main" xmlns:r="http://schemas.openxmlformats.org/officeDocument/2006/relationships">
  <sheetPr>
    <tabColor theme="7" tint="0.79998168889431442"/>
  </sheetPr>
  <dimension ref="A1:AK13"/>
  <sheetViews>
    <sheetView showGridLines="0" topLeftCell="C1" workbookViewId="0">
      <selection activeCell="AH7" sqref="AH7:AK12"/>
    </sheetView>
  </sheetViews>
  <sheetFormatPr baseColWidth="10" defaultColWidth="9.140625" defaultRowHeight="30" customHeight="1"/>
  <cols>
    <col min="1" max="1" width="2.7109375" style="10" customWidth="1"/>
    <col min="2" max="2" width="25.7109375" style="10" customWidth="1"/>
    <col min="3" max="33" width="4.7109375" style="10" customWidth="1"/>
    <col min="34" max="34" width="9.5703125" style="10" customWidth="1"/>
    <col min="35" max="37" width="9.5703125" customWidth="1"/>
  </cols>
  <sheetData>
    <row r="1" spans="2:37" ht="50.1" customHeight="1">
      <c r="B1" s="13" t="str">
        <f>Titre_Absence_Employé</f>
        <v>Calendrier  des employés</v>
      </c>
    </row>
    <row r="2" spans="2:37" ht="15" customHeight="1">
      <c r="B2" s="17" t="s">
        <v>0</v>
      </c>
      <c r="C2" s="4" t="s">
        <v>8</v>
      </c>
      <c r="D2" s="60" t="s">
        <v>11</v>
      </c>
      <c r="E2" s="60"/>
      <c r="F2" s="5" t="s">
        <v>14</v>
      </c>
      <c r="G2" s="60" t="s">
        <v>18</v>
      </c>
      <c r="H2" s="60"/>
      <c r="I2" s="60"/>
      <c r="J2" s="6" t="s">
        <v>16</v>
      </c>
      <c r="K2" s="60" t="s">
        <v>23</v>
      </c>
      <c r="L2" s="60"/>
      <c r="M2" s="7"/>
      <c r="N2" s="60" t="s">
        <v>27</v>
      </c>
      <c r="O2" s="60"/>
      <c r="P2" s="60"/>
      <c r="Q2" s="60"/>
      <c r="R2" s="8"/>
      <c r="S2" s="60" t="s">
        <v>32</v>
      </c>
      <c r="T2" s="60"/>
      <c r="U2" s="60"/>
      <c r="V2" s="60"/>
    </row>
    <row r="3" spans="2:37" ht="15" customHeight="1">
      <c r="B3" s="13"/>
    </row>
    <row r="4" spans="2:37" ht="30" customHeight="1">
      <c r="B4" s="11" t="s">
        <v>61</v>
      </c>
      <c r="C4" s="58" t="s">
        <v>9</v>
      </c>
      <c r="D4" s="58"/>
      <c r="E4" s="58"/>
      <c r="F4" s="58"/>
      <c r="G4" s="58"/>
      <c r="H4" s="58"/>
      <c r="I4" s="58"/>
      <c r="J4" s="58"/>
      <c r="K4" s="58"/>
      <c r="L4" s="58"/>
      <c r="M4" s="58"/>
      <c r="N4" s="58"/>
      <c r="O4" s="58"/>
      <c r="P4" s="58"/>
      <c r="Q4" s="58"/>
      <c r="R4" s="58"/>
      <c r="S4" s="58"/>
      <c r="T4" s="58"/>
      <c r="U4" s="58"/>
      <c r="V4" s="58"/>
      <c r="W4" s="58"/>
      <c r="X4" s="58"/>
      <c r="Y4" s="58"/>
      <c r="Z4" s="58"/>
      <c r="AA4" s="58"/>
      <c r="AB4" s="58"/>
      <c r="AC4" s="58"/>
      <c r="AD4" s="58"/>
      <c r="AE4" s="58"/>
      <c r="AF4" s="58"/>
      <c r="AG4" s="58"/>
      <c r="AH4" s="11">
        <f>AnnéeCalendrier</f>
        <v>2019</v>
      </c>
      <c r="AI4" s="21"/>
      <c r="AJ4" s="21"/>
      <c r="AK4" s="21"/>
    </row>
    <row r="5" spans="2:37" ht="15" customHeight="1">
      <c r="B5" s="11"/>
      <c r="C5" s="2" t="str">
        <f>TEXT(WEEKDAY(DATE(AnnéeCalendrier,12,1),1),"jjj")</f>
        <v>dim</v>
      </c>
      <c r="D5" s="2" t="str">
        <f>TEXT(WEEKDAY(DATE(AnnéeCalendrier,12,2),1),"jjj")</f>
        <v>lun</v>
      </c>
      <c r="E5" s="2" t="str">
        <f>TEXT(WEEKDAY(DATE(AnnéeCalendrier,12,3),1),"jjj")</f>
        <v>mar</v>
      </c>
      <c r="F5" s="2" t="str">
        <f>TEXT(WEEKDAY(DATE(AnnéeCalendrier,12,4),1),"jjj")</f>
        <v>mer</v>
      </c>
      <c r="G5" s="2" t="str">
        <f>TEXT(WEEKDAY(DATE(AnnéeCalendrier,12,5),1),"jjj")</f>
        <v>jeu</v>
      </c>
      <c r="H5" s="2" t="str">
        <f>TEXT(WEEKDAY(DATE(AnnéeCalendrier,12,6),1),"jjj")</f>
        <v>ven</v>
      </c>
      <c r="I5" s="2" t="str">
        <f>TEXT(WEEKDAY(DATE(AnnéeCalendrier,12,7),1),"jjj")</f>
        <v>sam</v>
      </c>
      <c r="J5" s="2" t="str">
        <f>TEXT(WEEKDAY(DATE(AnnéeCalendrier,12,8),1),"jjj")</f>
        <v>dim</v>
      </c>
      <c r="K5" s="2" t="str">
        <f>TEXT(WEEKDAY(DATE(AnnéeCalendrier,12,9),1),"jjj")</f>
        <v>lun</v>
      </c>
      <c r="L5" s="2" t="str">
        <f>TEXT(WEEKDAY(DATE(AnnéeCalendrier,12,10),1),"jjj")</f>
        <v>mar</v>
      </c>
      <c r="M5" s="2" t="str">
        <f>TEXT(WEEKDAY(DATE(AnnéeCalendrier,12,11),1),"jjj")</f>
        <v>mer</v>
      </c>
      <c r="N5" s="2" t="str">
        <f>TEXT(WEEKDAY(DATE(AnnéeCalendrier,12,12),1),"jjj")</f>
        <v>jeu</v>
      </c>
      <c r="O5" s="2" t="str">
        <f>TEXT(WEEKDAY(DATE(AnnéeCalendrier,12,13),1),"jjj")</f>
        <v>ven</v>
      </c>
      <c r="P5" s="2" t="str">
        <f>TEXT(WEEKDAY(DATE(AnnéeCalendrier,12,14),1),"jjj")</f>
        <v>sam</v>
      </c>
      <c r="Q5" s="2" t="str">
        <f>TEXT(WEEKDAY(DATE(AnnéeCalendrier,12,15),1),"jjj")</f>
        <v>dim</v>
      </c>
      <c r="R5" s="2" t="str">
        <f>TEXT(WEEKDAY(DATE(AnnéeCalendrier,12,16),1),"jjj")</f>
        <v>lun</v>
      </c>
      <c r="S5" s="2" t="str">
        <f>TEXT(WEEKDAY(DATE(AnnéeCalendrier,12,17),1),"jjj")</f>
        <v>mar</v>
      </c>
      <c r="T5" s="2" t="str">
        <f>TEXT(WEEKDAY(DATE(AnnéeCalendrier,12,18),1),"jjj")</f>
        <v>mer</v>
      </c>
      <c r="U5" s="2" t="str">
        <f>TEXT(WEEKDAY(DATE(AnnéeCalendrier,12,19),1),"jjj")</f>
        <v>jeu</v>
      </c>
      <c r="V5" s="2" t="str">
        <f>TEXT(WEEKDAY(DATE(AnnéeCalendrier,12,20),1),"jjj")</f>
        <v>ven</v>
      </c>
      <c r="W5" s="2" t="str">
        <f>TEXT(WEEKDAY(DATE(AnnéeCalendrier,12,21),1),"jjj")</f>
        <v>sam</v>
      </c>
      <c r="X5" s="2" t="str">
        <f>TEXT(WEEKDAY(DATE(AnnéeCalendrier,12,22),1),"jjj")</f>
        <v>dim</v>
      </c>
      <c r="Y5" s="2" t="str">
        <f>TEXT(WEEKDAY(DATE(AnnéeCalendrier,12,23),1),"jjj")</f>
        <v>lun</v>
      </c>
      <c r="Z5" s="2" t="str">
        <f>TEXT(WEEKDAY(DATE(AnnéeCalendrier,12,24),1),"jjj")</f>
        <v>mar</v>
      </c>
      <c r="AA5" s="2" t="str">
        <f>TEXT(WEEKDAY(DATE(AnnéeCalendrier,12,25),1),"jjj")</f>
        <v>mer</v>
      </c>
      <c r="AB5" s="2" t="str">
        <f>TEXT(WEEKDAY(DATE(AnnéeCalendrier,12,26),1),"jjj")</f>
        <v>jeu</v>
      </c>
      <c r="AC5" s="2" t="str">
        <f>TEXT(WEEKDAY(DATE(AnnéeCalendrier,12,27),1),"jjj")</f>
        <v>ven</v>
      </c>
      <c r="AD5" s="2" t="str">
        <f>TEXT(WEEKDAY(DATE(AnnéeCalendrier,12,28),1),"jjj")</f>
        <v>sam</v>
      </c>
      <c r="AE5" s="2" t="str">
        <f>TEXT(WEEKDAY(DATE(AnnéeCalendrier,12,29),1),"jjj")</f>
        <v>dim</v>
      </c>
      <c r="AF5" s="2" t="str">
        <f>TEXT(WEEKDAY(DATE(AnnéeCalendrier,12,30),1),"jjj")</f>
        <v>lun</v>
      </c>
      <c r="AG5" s="2" t="str">
        <f>TEXT(WEEKDAY(DATE(AnnéeCalendrier,12,31),1),"jjj")</f>
        <v>mar</v>
      </c>
      <c r="AH5" s="11"/>
      <c r="AI5" s="21"/>
      <c r="AJ5" s="21"/>
      <c r="AK5" s="21"/>
    </row>
    <row r="6" spans="2:37" ht="15" customHeight="1">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2:37" ht="30" customHeight="1">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c r="B12" s="23"/>
      <c r="AH12" s="12"/>
      <c r="AI12" s="12"/>
      <c r="AJ12" s="12"/>
      <c r="AK12" s="12"/>
    </row>
    <row r="13" spans="2:37" ht="30" customHeight="1">
      <c r="B13" s="18" t="str">
        <f>NomMois&amp;" Total"</f>
        <v>Décembre Total</v>
      </c>
      <c r="C13" s="12">
        <f>SUBTOTAL(103,[1])</f>
        <v>0</v>
      </c>
      <c r="D13" s="12">
        <f>SUBTOTAL(103,[2])</f>
        <v>0</v>
      </c>
      <c r="E13" s="12">
        <f>SUBTOTAL(103,[3])</f>
        <v>0</v>
      </c>
      <c r="F13" s="12">
        <f>SUBTOTAL(103,[4])</f>
        <v>0</v>
      </c>
      <c r="G13" s="12">
        <f>SUBTOTAL(103,[5])</f>
        <v>0</v>
      </c>
      <c r="H13" s="12">
        <f>SUBTOTAL(103,[6])</f>
        <v>0</v>
      </c>
      <c r="I13" s="12">
        <f>SUBTOTAL(103,[7])</f>
        <v>0</v>
      </c>
      <c r="J13" s="12">
        <f>SUBTOTAL(103,[8])</f>
        <v>0</v>
      </c>
      <c r="K13" s="12">
        <f>SUBTOTAL(103,[9])</f>
        <v>0</v>
      </c>
      <c r="L13" s="12">
        <f>SUBTOTAL(103,[10])</f>
        <v>0</v>
      </c>
      <c r="M13" s="12">
        <f>SUBTOTAL(103,[11])</f>
        <v>0</v>
      </c>
      <c r="N13" s="12">
        <f>SUBTOTAL(103,[12])</f>
        <v>0</v>
      </c>
      <c r="O13" s="12">
        <f>SUBTOTAL(103,[13])</f>
        <v>0</v>
      </c>
      <c r="P13" s="12">
        <f>SUBTOTAL(103,[14])</f>
        <v>0</v>
      </c>
      <c r="Q13" s="12">
        <f>SUBTOTAL(103,[15])</f>
        <v>0</v>
      </c>
      <c r="R13" s="12">
        <f>SUBTOTAL(103,[16])</f>
        <v>0</v>
      </c>
      <c r="S13" s="12">
        <f>SUBTOTAL(103,[17])</f>
        <v>0</v>
      </c>
      <c r="T13" s="12">
        <f>SUBTOTAL(103,[18])</f>
        <v>0</v>
      </c>
      <c r="U13" s="12">
        <f>SUBTOTAL(103,[19])</f>
        <v>0</v>
      </c>
      <c r="V13" s="12">
        <f>SUBTOTAL(103,[20])</f>
        <v>0</v>
      </c>
      <c r="W13" s="12">
        <f>SUBTOTAL(103,[21])</f>
        <v>0</v>
      </c>
      <c r="X13" s="12">
        <f>SUBTOTAL(103,[22])</f>
        <v>0</v>
      </c>
      <c r="Y13" s="12">
        <f>SUBTOTAL(103,[23])</f>
        <v>0</v>
      </c>
      <c r="Z13" s="12">
        <f>SUBTOTAL(103,[24])</f>
        <v>0</v>
      </c>
      <c r="AA13" s="12">
        <f>SUBTOTAL(103,[25])</f>
        <v>0</v>
      </c>
      <c r="AB13" s="12">
        <f>SUBTOTAL(103,[26])</f>
        <v>0</v>
      </c>
      <c r="AC13" s="12">
        <f>SUBTOTAL(103,[27])</f>
        <v>0</v>
      </c>
      <c r="AD13" s="12">
        <f>SUBTOTAL(103,[28])</f>
        <v>0</v>
      </c>
      <c r="AE13" s="12">
        <f>SUBTOTAL(103,[29])</f>
        <v>0</v>
      </c>
      <c r="AF13" s="12">
        <f>SUBTOTAL(103,[30])</f>
        <v>0</v>
      </c>
      <c r="AG13" s="12">
        <f>SUBTOTAL(103,[31])</f>
        <v>0</v>
      </c>
      <c r="AH13" s="12">
        <f>SUBTOTAL(109,[Travaillé])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81" priority="5" stopIfTrue="1">
      <formula>C7=CléPersonnalisée2</formula>
    </cfRule>
    <cfRule type="expression" dxfId="80" priority="6" stopIfTrue="1">
      <formula>C7=CléPersonnalisée1</formula>
    </cfRule>
    <cfRule type="expression" dxfId="79" priority="7" stopIfTrue="1">
      <formula>C7=CléMaladie</formula>
    </cfRule>
    <cfRule type="expression" dxfId="78" priority="8" stopIfTrue="1">
      <formula>C7=CléCongés</formula>
    </cfRule>
    <cfRule type="expression" dxfId="77"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{75AEC24A-02FB-47CC-822A-120B27AAD102}</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{0266D57D-F6E0-4E97-AE77-3D9D08A669B6}</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{084AE007-CCAD-412B-BCAE-1EE61DF6ED10}</x14:id>
        </ext>
      </extLst>
    </cfRule>
  </conditionalFormatting>
  <dataValidations count="13">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décem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5AEC24A-02FB-47CC-822A-120B27AAD102}">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0266D57D-F6E0-4E97-AE77-3D9D08A669B6}">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084AE007-CCAD-412B-BCAE-1EE61DF6ED10}">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13.xml><?xml version="1.0" encoding="utf-8"?>
<worksheet xmlns="http://schemas.openxmlformats.org/spreadsheetml/2006/main" xmlns:r="http://schemas.openxmlformats.org/officeDocument/2006/relationships">
  <dimension ref="A1:E21"/>
  <sheetViews>
    <sheetView workbookViewId="0">
      <selection activeCell="H19" sqref="H19"/>
    </sheetView>
  </sheetViews>
  <sheetFormatPr baseColWidth="10" defaultRowHeight="15"/>
  <cols>
    <col min="1" max="1" width="24.140625" customWidth="1"/>
  </cols>
  <sheetData>
    <row r="1" spans="1:5" ht="33.75">
      <c r="A1" s="13" t="str">
        <f>Titre_Absence_Employé</f>
        <v>Calendrier  des employés</v>
      </c>
    </row>
    <row r="2" spans="1:5">
      <c r="A2" s="63"/>
      <c r="B2" s="63"/>
      <c r="C2" s="63"/>
    </row>
    <row r="3" spans="1:5">
      <c r="A3" s="63"/>
      <c r="B3" s="63"/>
      <c r="C3" s="63"/>
    </row>
    <row r="4" spans="1:5">
      <c r="A4" s="63"/>
      <c r="B4" s="63"/>
      <c r="C4" s="63"/>
    </row>
    <row r="5" spans="1:5">
      <c r="A5" s="63"/>
      <c r="B5" s="63"/>
      <c r="C5" s="63"/>
    </row>
    <row r="6" spans="1:5">
      <c r="A6" s="24"/>
      <c r="B6" s="24"/>
      <c r="C6" s="24"/>
    </row>
    <row r="7" spans="1:5">
      <c r="A7" s="37" t="s">
        <v>2</v>
      </c>
      <c r="B7" s="26" t="s">
        <v>64</v>
      </c>
      <c r="C7" s="27" t="s">
        <v>65</v>
      </c>
      <c r="D7" s="28" t="s">
        <v>23</v>
      </c>
      <c r="E7" s="38" t="s">
        <v>18</v>
      </c>
    </row>
    <row r="8" spans="1:5">
      <c r="A8" s="39" t="s">
        <v>68</v>
      </c>
      <c r="B8" s="40">
        <f>COUNTA(Janvier!$C7:$AG7)</f>
        <v>10</v>
      </c>
      <c r="C8" s="40">
        <f>COUNTA(Janvier!$C7:$AG7)</f>
        <v>10</v>
      </c>
      <c r="D8" s="40">
        <f>COUNTA(Janvier!$C7:$AG7)</f>
        <v>10</v>
      </c>
      <c r="E8" s="41">
        <f>COUNTA(Janvier!$C7:$AG7)</f>
        <v>10</v>
      </c>
    </row>
    <row r="9" spans="1:5">
      <c r="A9" s="39" t="s">
        <v>69</v>
      </c>
      <c r="B9" s="41">
        <f>COUNTA(Janvier!$C8:$AG8)</f>
        <v>0</v>
      </c>
      <c r="C9" s="41">
        <f>COUNTA(Janvier!$C8:$AG8)</f>
        <v>0</v>
      </c>
      <c r="D9" s="41">
        <f>COUNTA(Janvier!$C8:$AG8)</f>
        <v>0</v>
      </c>
      <c r="E9" s="41">
        <f>COUNTA(Janvier!$C8:$AG8)</f>
        <v>0</v>
      </c>
    </row>
    <row r="10" spans="1:5">
      <c r="A10" s="39" t="s">
        <v>70</v>
      </c>
      <c r="B10" s="40">
        <f>COUNTA(Janvier!$C9:$AG9)</f>
        <v>0</v>
      </c>
      <c r="C10" s="40">
        <f>COUNTA(Janvier!$C9:$AG9)</f>
        <v>0</v>
      </c>
      <c r="D10" s="40">
        <f>COUNTA(Janvier!$C9:$AG9)</f>
        <v>0</v>
      </c>
      <c r="E10" s="41">
        <f>COUNTA(Janvier!$C9:$AG9)</f>
        <v>0</v>
      </c>
    </row>
    <row r="11" spans="1:5">
      <c r="A11" s="39" t="s">
        <v>7</v>
      </c>
      <c r="B11" s="41">
        <f>COUNTA(Janvier!$C10:$AG10)</f>
        <v>0</v>
      </c>
      <c r="C11" s="41">
        <f>COUNTA(Janvier!$C10:$AG10)</f>
        <v>0</v>
      </c>
      <c r="D11" s="41">
        <f>COUNTA(Janvier!$C10:$AG10)</f>
        <v>0</v>
      </c>
      <c r="E11" s="41">
        <f>COUNTA(Janvier!$C10:$AG10)</f>
        <v>0</v>
      </c>
    </row>
    <row r="12" spans="1:5">
      <c r="A12" s="39" t="s">
        <v>71</v>
      </c>
      <c r="B12" s="40">
        <f>COUNTA(Janvier!$C11:$AG11)</f>
        <v>0</v>
      </c>
      <c r="C12" s="40">
        <f>COUNTA(Janvier!$C11:$AG11)</f>
        <v>0</v>
      </c>
      <c r="D12" s="40">
        <f>COUNTA(Janvier!$C11:$AG11)</f>
        <v>0</v>
      </c>
      <c r="E12" s="41">
        <f>COUNTA(Janvier!$C11:$AG11)</f>
        <v>0</v>
      </c>
    </row>
    <row r="13" spans="1:5">
      <c r="A13" s="39" t="s">
        <v>73</v>
      </c>
      <c r="B13" s="41">
        <f>COUNTA(Janvier!$C12:$AG12)</f>
        <v>0</v>
      </c>
      <c r="C13" s="41">
        <f>COUNTA(Janvier!$C12:$AG12)</f>
        <v>0</v>
      </c>
      <c r="D13" s="41">
        <f>COUNTA(Janvier!$C12:$AG12)</f>
        <v>0</v>
      </c>
      <c r="E13" s="41">
        <f>COUNTA(Janvier!$C12:$AG12)</f>
        <v>0</v>
      </c>
    </row>
    <row r="14" spans="1:5">
      <c r="A14" s="39" t="s">
        <v>74</v>
      </c>
      <c r="B14" s="40">
        <f>COUNTA(Janvier!$C13:$AG13)</f>
        <v>1</v>
      </c>
      <c r="C14" s="40">
        <f>COUNTA(Janvier!$C13:$AG13)</f>
        <v>1</v>
      </c>
      <c r="D14" s="40">
        <f>COUNTA(Janvier!$C13:$AG13)</f>
        <v>1</v>
      </c>
      <c r="E14" s="41">
        <f>COUNTA(Janvier!$C13:$AG13)</f>
        <v>1</v>
      </c>
    </row>
    <row r="15" spans="1:5">
      <c r="A15" s="39" t="s">
        <v>75</v>
      </c>
      <c r="B15" s="41">
        <f>COUNTA(Janvier!$C14:$AG14)</f>
        <v>0</v>
      </c>
      <c r="C15" s="41">
        <f>COUNTA(Janvier!$C14:$AG14)</f>
        <v>0</v>
      </c>
      <c r="D15" s="41">
        <f>COUNTA(Janvier!$C14:$AG14)</f>
        <v>0</v>
      </c>
      <c r="E15" s="41">
        <f>COUNTA(Janvier!$C14:$AG14)</f>
        <v>0</v>
      </c>
    </row>
    <row r="16" spans="1:5">
      <c r="A16" s="39" t="s">
        <v>76</v>
      </c>
      <c r="B16" s="40">
        <f>COUNTA(Janvier!$C15:$AG15)</f>
        <v>0</v>
      </c>
      <c r="C16" s="40">
        <f>COUNTA(Janvier!$C15:$AG15)</f>
        <v>0</v>
      </c>
      <c r="D16" s="40">
        <f>COUNTA(Janvier!$C15:$AG15)</f>
        <v>0</v>
      </c>
      <c r="E16" s="41">
        <f>COUNTA(Janvier!$C15:$AG15)</f>
        <v>0</v>
      </c>
    </row>
    <row r="17" spans="1:5">
      <c r="A17" s="39" t="s">
        <v>77</v>
      </c>
      <c r="B17" s="40">
        <f>COUNTA(Janvier!$C16:$AG16)</f>
        <v>0</v>
      </c>
      <c r="C17" s="40">
        <f>COUNTA(Janvier!$C16:$AG16)</f>
        <v>0</v>
      </c>
      <c r="D17" s="40">
        <f>COUNTA(Janvier!$C16:$AG16)</f>
        <v>0</v>
      </c>
      <c r="E17" s="41">
        <f>COUNTA(Janvier!$C16:$AG16)</f>
        <v>0</v>
      </c>
    </row>
    <row r="18" spans="1:5">
      <c r="A18" s="39" t="s">
        <v>78</v>
      </c>
      <c r="B18" s="41">
        <f>COUNTA(Janvier!$C17:$AG17)</f>
        <v>0</v>
      </c>
      <c r="C18" s="41">
        <f>COUNTA(Janvier!$C17:$AG17)</f>
        <v>0</v>
      </c>
      <c r="D18" s="41">
        <f>COUNTA(Janvier!$C17:$AG17)</f>
        <v>0</v>
      </c>
      <c r="E18" s="41">
        <f>COUNTA(Janvier!$C17:$AG17)</f>
        <v>0</v>
      </c>
    </row>
    <row r="19" spans="1:5">
      <c r="A19" s="39" t="s">
        <v>79</v>
      </c>
      <c r="B19" s="40">
        <f>COUNTA(Janvier!$C18:$AG18)</f>
        <v>0</v>
      </c>
      <c r="C19" s="40">
        <f>COUNTA(Janvier!$C18:$AG18)</f>
        <v>0</v>
      </c>
      <c r="D19" s="40">
        <f>COUNTA(Janvier!$C18:$AG18)</f>
        <v>0</v>
      </c>
      <c r="E19" s="41">
        <f>COUNTA(Janvier!$C18:$AG18)</f>
        <v>0</v>
      </c>
    </row>
    <row r="20" spans="1:5">
      <c r="A20" s="39" t="s">
        <v>80</v>
      </c>
      <c r="B20" s="41">
        <f>COUNTA(Janvier!$C19:$AG19)</f>
        <v>0</v>
      </c>
      <c r="C20" s="41">
        <f>COUNTA(Janvier!$C19:$AG19)</f>
        <v>0</v>
      </c>
      <c r="D20" s="41">
        <f>COUNTA(Janvier!$C19:$AG19)</f>
        <v>0</v>
      </c>
      <c r="E20" s="41">
        <f>COUNTA(Janvier!$C19:$AG19)</f>
        <v>0</v>
      </c>
    </row>
    <row r="21" spans="1:5">
      <c r="A21" s="39" t="s">
        <v>81</v>
      </c>
      <c r="B21" s="40">
        <f>COUNTA(Janvier!$C20:$AG20)</f>
        <v>0</v>
      </c>
      <c r="C21" s="40">
        <f>COUNTA(Janvier!$C20:$AG20)</f>
        <v>0</v>
      </c>
      <c r="D21" s="40">
        <f>COUNTA(Janvier!$C20:$AG20)</f>
        <v>0</v>
      </c>
      <c r="E21" s="41">
        <f>COUNTA(Janvier!$C20:$AG20)</f>
        <v>0</v>
      </c>
    </row>
  </sheetData>
  <mergeCells count="1">
    <mergeCell ref="A2:C5"/>
  </mergeCells>
  <dataValidations count="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7"/>
    <dataValidation allowBlank="1" showInputMessage="1" showErrorMessage="1" prompt="Le titre mis à jour automatiquement figure dans cette cellule. Pour modifier le titre, mettez à jour la cellule B1 de la feuille de calcul Janvier" sqref="A1"/>
  </dataValidations>
  <pageMargins left="0.7" right="0.7" top="0.75" bottom="0.75" header="0.3" footer="0.3"/>
  <drawing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A8:A21</xm:sqref>
        </x14:dataValidation>
      </x14:dataValidations>
    </ext>
  </extLst>
</worksheet>
</file>

<file path=xl/worksheets/sheet14.xml><?xml version="1.0" encoding="utf-8"?>
<worksheet xmlns="http://schemas.openxmlformats.org/spreadsheetml/2006/main" xmlns:r="http://schemas.openxmlformats.org/officeDocument/2006/relationships">
  <sheetPr>
    <tabColor theme="1"/>
  </sheetPr>
  <dimension ref="B1:B20"/>
  <sheetViews>
    <sheetView showGridLines="0" workbookViewId="0">
      <selection activeCell="G6" sqref="G6"/>
    </sheetView>
  </sheetViews>
  <sheetFormatPr baseColWidth="10" defaultColWidth="9.140625" defaultRowHeight="30" customHeight="1"/>
  <cols>
    <col min="1" max="1" width="2.7109375" customWidth="1"/>
    <col min="2" max="2" width="30.7109375" customWidth="1"/>
    <col min="3" max="3" width="2.7109375" customWidth="1"/>
  </cols>
  <sheetData>
    <row r="1" spans="2:2" ht="50.1" customHeight="1">
      <c r="B1" s="19" t="s">
        <v>62</v>
      </c>
    </row>
    <row r="2" spans="2:2" ht="15" customHeight="1"/>
    <row r="3" spans="2:2" ht="30" customHeight="1">
      <c r="B3" t="s">
        <v>62</v>
      </c>
    </row>
    <row r="4" spans="2:2" ht="30" customHeight="1">
      <c r="B4" s="25" t="s">
        <v>68</v>
      </c>
    </row>
    <row r="5" spans="2:2" ht="30" customHeight="1">
      <c r="B5" s="25" t="s">
        <v>69</v>
      </c>
    </row>
    <row r="6" spans="2:2" ht="30" customHeight="1">
      <c r="B6" s="25" t="s">
        <v>70</v>
      </c>
    </row>
    <row r="7" spans="2:2" ht="30" customHeight="1">
      <c r="B7" s="1" t="s">
        <v>6</v>
      </c>
    </row>
    <row r="8" spans="2:2" ht="30" customHeight="1">
      <c r="B8" s="1" t="s">
        <v>7</v>
      </c>
    </row>
    <row r="9" spans="2:2" ht="30" customHeight="1">
      <c r="B9" s="1" t="s">
        <v>71</v>
      </c>
    </row>
    <row r="10" spans="2:2" ht="30" customHeight="1">
      <c r="B10" s="1" t="s">
        <v>72</v>
      </c>
    </row>
    <row r="11" spans="2:2" ht="30" customHeight="1">
      <c r="B11" s="1" t="s">
        <v>73</v>
      </c>
    </row>
    <row r="12" spans="2:2" ht="30" customHeight="1">
      <c r="B12" s="1" t="s">
        <v>74</v>
      </c>
    </row>
    <row r="13" spans="2:2" ht="30" customHeight="1">
      <c r="B13" s="1" t="s">
        <v>75</v>
      </c>
    </row>
    <row r="14" spans="2:2" ht="30" customHeight="1">
      <c r="B14" s="1" t="s">
        <v>76</v>
      </c>
    </row>
    <row r="15" spans="2:2" ht="30" customHeight="1">
      <c r="B15" s="1" t="s">
        <v>77</v>
      </c>
    </row>
    <row r="16" spans="2:2" ht="30" customHeight="1">
      <c r="B16" s="1" t="s">
        <v>78</v>
      </c>
    </row>
    <row r="17" spans="2:2" ht="30" customHeight="1">
      <c r="B17" s="1" t="s">
        <v>79</v>
      </c>
    </row>
    <row r="18" spans="2:2" ht="30" customHeight="1">
      <c r="B18" s="1" t="s">
        <v>80</v>
      </c>
    </row>
    <row r="19" spans="2:2" ht="30" customHeight="1">
      <c r="B19" s="1" t="s">
        <v>81</v>
      </c>
    </row>
    <row r="20" spans="2:2" ht="30" customHeight="1">
      <c r="B20" s="1" t="s">
        <v>82</v>
      </c>
    </row>
  </sheetData>
  <dataValidations count="3">
    <dataValidation allowBlank="1" showInputMessage="1" showErrorMessage="1" prompt="Titre Noms des employés" sqref="B1"/>
    <dataValidation allowBlank="1" showInputMessage="1" showErrorMessage="1" prompt="Entrez les noms des employés dans le tableau Noms des employés dans cette feuille de calcul. Ces noms sont utilisés en tant qu’options dans la colonne B du tableau des absences de chaque mois." sqref="A1"/>
    <dataValidation allowBlank="1" showInputMessage="1" showErrorMessage="1" prompt="Entrez les noms des employés dans cette colonne" sqref="B3"/>
  </dataValidations>
  <pageMargins left="0.7" right="0.7" top="0.75" bottom="0.75" header="0.3" footer="0.3"/>
  <pageSetup paperSize="9" orientation="portrait" horizontalDpi="200" verticalDpi="200" r:id="rId1"/>
  <tableParts count="1">
    <tablePart r:id="rId2"/>
  </tableParts>
</worksheet>
</file>

<file path=xl/worksheets/sheet15.xml><?xml version="1.0" encoding="utf-8"?>
<worksheet xmlns="http://schemas.openxmlformats.org/spreadsheetml/2006/main" xmlns:r="http://schemas.openxmlformats.org/officeDocument/2006/relationships">
  <dimension ref="A1:B6"/>
  <sheetViews>
    <sheetView workbookViewId="0">
      <selection activeCell="B3" sqref="B3"/>
    </sheetView>
  </sheetViews>
  <sheetFormatPr baseColWidth="10" defaultRowHeight="15"/>
  <sheetData>
    <row r="1" spans="1:2">
      <c r="A1" t="s">
        <v>84</v>
      </c>
      <c r="B1" t="s">
        <v>85</v>
      </c>
    </row>
    <row r="2" spans="1:2">
      <c r="A2" t="s">
        <v>63</v>
      </c>
      <c r="B2">
        <v>1</v>
      </c>
    </row>
    <row r="3" spans="1:2">
      <c r="A3" t="s">
        <v>14</v>
      </c>
      <c r="B3">
        <v>1</v>
      </c>
    </row>
    <row r="4" spans="1:2">
      <c r="A4" t="s">
        <v>16</v>
      </c>
      <c r="B4">
        <v>1</v>
      </c>
    </row>
    <row r="5" spans="1:2">
      <c r="A5" t="s">
        <v>86</v>
      </c>
      <c r="B5">
        <v>1</v>
      </c>
    </row>
    <row r="6" spans="1:2">
      <c r="A6" t="s">
        <v>83</v>
      </c>
      <c r="B6">
        <v>1</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50</vt:i4>
      </vt:variant>
    </vt:vector>
  </HeadingPairs>
  <TitlesOfParts>
    <vt:vector size="65" baseType="lpstr">
      <vt:lpstr>Janvier</vt:lpstr>
      <vt:lpstr>Février</vt:lpstr>
      <vt:lpstr>Mars</vt:lpstr>
      <vt:lpstr>Avril</vt:lpstr>
      <vt:lpstr>Mai</vt:lpstr>
      <vt:lpstr>Juin</vt:lpstr>
      <vt:lpstr>Juillet</vt:lpstr>
      <vt:lpstr>Août</vt:lpstr>
      <vt:lpstr>Septembre</vt:lpstr>
      <vt:lpstr>Octobre</vt:lpstr>
      <vt:lpstr>Novembre</vt:lpstr>
      <vt:lpstr>Décembre</vt:lpstr>
      <vt:lpstr>Total Annuel</vt:lpstr>
      <vt:lpstr>Noms des employés</vt:lpstr>
      <vt:lpstr>Valeurs</vt:lpstr>
      <vt:lpstr>AnnéeCalendrier</vt:lpstr>
      <vt:lpstr>CléCongés</vt:lpstr>
      <vt:lpstr>CléMaladie</vt:lpstr>
      <vt:lpstr>CléPersonnalisée1</vt:lpstr>
      <vt:lpstr>CléPersonnalisée2</vt:lpstr>
      <vt:lpstr>CléTravail</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Alexandre</dc:creator>
  <cp:lastModifiedBy>Cbruno</cp:lastModifiedBy>
  <dcterms:created xsi:type="dcterms:W3CDTF">2016-12-06T04:52:27Z</dcterms:created>
  <dcterms:modified xsi:type="dcterms:W3CDTF">2019-09-11T07:36:04Z</dcterms:modified>
</cp:coreProperties>
</file>