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codeName="ThisWorkbook"/>
  <mc:AlternateContent xmlns:mc="http://schemas.openxmlformats.org/markup-compatibility/2006">
    <mc:Choice Requires="x15">
      <x15ac:absPath xmlns:x15ac="http://schemas.microsoft.com/office/spreadsheetml/2010/11/ac" url="F:\Documents\"/>
    </mc:Choice>
  </mc:AlternateContent>
  <xr:revisionPtr revIDLastSave="0" documentId="8_{D6F6EEF5-13AE-4B72-B80D-6F84D6A3FC12}" xr6:coauthVersionLast="47" xr6:coauthVersionMax="47" xr10:uidLastSave="{00000000-0000-0000-0000-000000000000}"/>
  <bookViews>
    <workbookView xWindow="-120" yWindow="-120" windowWidth="24240" windowHeight="13140" tabRatio="792"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employés" sheetId="16" r:id="rId13"/>
  </sheets>
  <definedNames>
    <definedName name="AnnéeCalendrier">Janvier!$AH$4</definedName>
    <definedName name="CléAbsence">Janvier!$W$2</definedName>
    <definedName name="CléAbsenceinjust">Janvier!$R$2</definedName>
    <definedName name="CléAbsencejustif">Janvier!$M$2</definedName>
    <definedName name="CléAccident">Janvier!$J$2</definedName>
    <definedName name="CléCongé">Janvier!$C$2</definedName>
    <definedName name="CléMaladie.">Janvier!$F$2</definedName>
    <definedName name="ÉtiquetteClé">Janvier!$G$2</definedName>
    <definedName name="ÉtiquetteCléAbsenceinjust">Janvier!$S$2</definedName>
    <definedName name="ÉtiquetteCléAbsencejustif">Janvier!$N$2</definedName>
    <definedName name="ÉtiquetteCléAccident">Janvier!$K$2</definedName>
    <definedName name="ÉtiquetteCléCongé">Janvier!$D$2</definedName>
    <definedName name="ÉtiquetteCléMaladie">Janvier!$K$2</definedName>
    <definedName name="ÉtiquetteCléPersonnalisée1">Janvier!$N$2</definedName>
    <definedName name="ÉtiquetteCléPersonnalisée2">Janvier!$S$2</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81029"/>
</workbook>
</file>

<file path=xl/calcChain.xml><?xml version="1.0" encoding="utf-8"?>
<calcChain xmlns="http://schemas.openxmlformats.org/spreadsheetml/2006/main">
  <c r="AH11" i="15" l="1"/>
  <c r="AH12" i="15"/>
  <c r="AH13" i="15"/>
  <c r="AH14" i="15"/>
  <c r="AH15" i="15"/>
  <c r="AH16" i="15"/>
  <c r="AH11" i="25"/>
  <c r="AH12" i="25"/>
  <c r="AH13" i="25"/>
  <c r="AH14" i="25"/>
  <c r="AH15" i="25"/>
  <c r="AH11" i="24"/>
  <c r="AH12" i="24"/>
  <c r="AH13" i="24"/>
  <c r="AH14" i="24"/>
  <c r="AH15" i="24"/>
  <c r="AH11" i="23"/>
  <c r="AH12" i="23"/>
  <c r="AH13" i="23"/>
  <c r="AH14" i="23"/>
  <c r="AH15" i="23"/>
  <c r="AH11" i="22"/>
  <c r="AH12" i="22"/>
  <c r="AH13" i="22"/>
  <c r="AH14" i="22"/>
  <c r="AH15" i="22"/>
  <c r="AH11" i="21"/>
  <c r="AH12" i="21"/>
  <c r="AH13" i="21"/>
  <c r="AH14" i="21"/>
  <c r="AH15" i="21"/>
  <c r="AH11" i="20"/>
  <c r="AH12" i="20"/>
  <c r="AH13" i="20"/>
  <c r="AH14" i="20"/>
  <c r="AH15" i="20"/>
  <c r="AH11" i="19"/>
  <c r="AH12" i="19"/>
  <c r="AH13" i="19"/>
  <c r="AH14" i="19"/>
  <c r="AH15" i="19"/>
  <c r="AH11" i="18"/>
  <c r="AH12" i="18"/>
  <c r="AH13" i="18"/>
  <c r="AH14" i="18"/>
  <c r="AH15" i="18"/>
  <c r="AH11" i="17"/>
  <c r="AH12" i="17"/>
  <c r="AH13" i="17"/>
  <c r="AH14" i="17"/>
  <c r="AH15" i="17"/>
  <c r="AH11" i="5"/>
  <c r="AH12" i="5"/>
  <c r="AH13" i="5"/>
  <c r="AH14" i="5"/>
  <c r="AH15" i="5"/>
  <c r="AH14" i="4"/>
  <c r="AH15" i="4"/>
  <c r="AH11" i="4"/>
  <c r="AH12" i="4"/>
  <c r="AH13" i="4"/>
  <c r="AE5" i="5"/>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7" i="25" l="1"/>
  <c r="AH8" i="25"/>
  <c r="AH9" i="25"/>
  <c r="AH10" i="25"/>
  <c r="AH16" i="25"/>
  <c r="AH7" i="23"/>
  <c r="AH8" i="23"/>
  <c r="AH9" i="23"/>
  <c r="AH10" i="23"/>
  <c r="AH16" i="23"/>
  <c r="AH7" i="20"/>
  <c r="AH8" i="20"/>
  <c r="AH9" i="20"/>
  <c r="AH10" i="20"/>
  <c r="AH16" i="20"/>
  <c r="AH7" i="18"/>
  <c r="AH8" i="18"/>
  <c r="AH9" i="18"/>
  <c r="AH10" i="18"/>
  <c r="AH16" i="18"/>
  <c r="AD17" i="15"/>
  <c r="AE17" i="15"/>
  <c r="AF17" i="15"/>
  <c r="AG17" i="15"/>
  <c r="AE17" i="25"/>
  <c r="AF17" i="25"/>
  <c r="AG17" i="25"/>
  <c r="AE17" i="24"/>
  <c r="AF17" i="24"/>
  <c r="AG17" i="24"/>
  <c r="AE17" i="23"/>
  <c r="AF17" i="23"/>
  <c r="AG17" i="23"/>
  <c r="AF17" i="22"/>
  <c r="AG17" i="22"/>
  <c r="AF17" i="21"/>
  <c r="AG17" i="21"/>
  <c r="AF17" i="20"/>
  <c r="AG17" i="20"/>
  <c r="AF17" i="19"/>
  <c r="AG17" i="19"/>
  <c r="AG17" i="18"/>
  <c r="AF17" i="18"/>
  <c r="AF17" i="17"/>
  <c r="AG17" i="17"/>
  <c r="AH9" i="4" l="1"/>
  <c r="AH10" i="4"/>
  <c r="B17" i="23" l="1"/>
  <c r="AD17" i="25"/>
  <c r="AC17" i="25"/>
  <c r="AB17" i="25"/>
  <c r="AA17" i="25"/>
  <c r="Z17" i="25"/>
  <c r="Y17" i="25"/>
  <c r="X17" i="25"/>
  <c r="W17" i="25"/>
  <c r="V17" i="25"/>
  <c r="U17" i="25"/>
  <c r="T17" i="25"/>
  <c r="S17" i="25"/>
  <c r="R17" i="25"/>
  <c r="Q17" i="25"/>
  <c r="P17" i="25"/>
  <c r="O17" i="25"/>
  <c r="N17" i="25"/>
  <c r="M17" i="25"/>
  <c r="L17" i="25"/>
  <c r="K17" i="25"/>
  <c r="J17" i="25"/>
  <c r="I17" i="25"/>
  <c r="H17" i="25"/>
  <c r="G17" i="25"/>
  <c r="F17" i="25"/>
  <c r="E17" i="25"/>
  <c r="D17" i="25"/>
  <c r="C17" i="25"/>
  <c r="B17" i="25"/>
  <c r="AH4" i="25"/>
  <c r="B1" i="25"/>
  <c r="AD17" i="24"/>
  <c r="AC17" i="24"/>
  <c r="AB17" i="24"/>
  <c r="AA17" i="24"/>
  <c r="Z17" i="24"/>
  <c r="Y17" i="24"/>
  <c r="X17" i="24"/>
  <c r="W17" i="24"/>
  <c r="V17" i="24"/>
  <c r="U17" i="24"/>
  <c r="T17" i="24"/>
  <c r="S17" i="24"/>
  <c r="R17" i="24"/>
  <c r="Q17" i="24"/>
  <c r="P17" i="24"/>
  <c r="O17" i="24"/>
  <c r="N17" i="24"/>
  <c r="M17" i="24"/>
  <c r="L17" i="24"/>
  <c r="K17" i="24"/>
  <c r="J17" i="24"/>
  <c r="I17" i="24"/>
  <c r="H17" i="24"/>
  <c r="G17" i="24"/>
  <c r="F17" i="24"/>
  <c r="E17" i="24"/>
  <c r="D17" i="24"/>
  <c r="C17" i="24"/>
  <c r="B17" i="24"/>
  <c r="AH16" i="24"/>
  <c r="AH10" i="24"/>
  <c r="AH9" i="24"/>
  <c r="AH8" i="24"/>
  <c r="AH7" i="24"/>
  <c r="AH4" i="24"/>
  <c r="B1" i="24"/>
  <c r="AD17" i="23"/>
  <c r="AC17" i="23"/>
  <c r="AB17" i="23"/>
  <c r="AA17" i="23"/>
  <c r="Z17" i="23"/>
  <c r="Y17" i="23"/>
  <c r="X17" i="23"/>
  <c r="W17" i="23"/>
  <c r="V17" i="23"/>
  <c r="U17" i="23"/>
  <c r="T17" i="23"/>
  <c r="S17" i="23"/>
  <c r="R17" i="23"/>
  <c r="Q17" i="23"/>
  <c r="P17" i="23"/>
  <c r="O17" i="23"/>
  <c r="N17" i="23"/>
  <c r="M17" i="23"/>
  <c r="L17" i="23"/>
  <c r="K17" i="23"/>
  <c r="J17" i="23"/>
  <c r="I17" i="23"/>
  <c r="H17" i="23"/>
  <c r="G17" i="23"/>
  <c r="F17" i="23"/>
  <c r="E17" i="23"/>
  <c r="D17" i="23"/>
  <c r="C17" i="23"/>
  <c r="AH17" i="23"/>
  <c r="AH4" i="23"/>
  <c r="B1" i="23"/>
  <c r="AE17" i="22"/>
  <c r="AD17" i="22"/>
  <c r="AC17" i="22"/>
  <c r="AB17" i="22"/>
  <c r="AA17" i="22"/>
  <c r="Z17" i="22"/>
  <c r="Y17" i="22"/>
  <c r="X17" i="22"/>
  <c r="W17" i="22"/>
  <c r="V17" i="22"/>
  <c r="U17" i="22"/>
  <c r="T17" i="22"/>
  <c r="S17" i="22"/>
  <c r="R17" i="22"/>
  <c r="Q17" i="22"/>
  <c r="P17" i="22"/>
  <c r="O17" i="22"/>
  <c r="N17" i="22"/>
  <c r="M17" i="22"/>
  <c r="L17" i="22"/>
  <c r="K17" i="22"/>
  <c r="J17" i="22"/>
  <c r="I17" i="22"/>
  <c r="H17" i="22"/>
  <c r="G17" i="22"/>
  <c r="F17" i="22"/>
  <c r="E17" i="22"/>
  <c r="D17" i="22"/>
  <c r="C17" i="22"/>
  <c r="B17" i="22"/>
  <c r="AH16" i="22"/>
  <c r="AH10" i="22"/>
  <c r="AH9" i="22"/>
  <c r="AH8" i="22"/>
  <c r="AH7" i="22"/>
  <c r="AH4" i="22"/>
  <c r="B1" i="22"/>
  <c r="AE17" i="21"/>
  <c r="AD17" i="21"/>
  <c r="AC17" i="21"/>
  <c r="AB17" i="21"/>
  <c r="AA17" i="21"/>
  <c r="Z17" i="21"/>
  <c r="Y17" i="21"/>
  <c r="X17" i="21"/>
  <c r="W17" i="21"/>
  <c r="V17" i="21"/>
  <c r="U17" i="21"/>
  <c r="T17" i="21"/>
  <c r="S17" i="21"/>
  <c r="R17" i="21"/>
  <c r="Q17" i="21"/>
  <c r="P17" i="21"/>
  <c r="O17" i="21"/>
  <c r="N17" i="21"/>
  <c r="M17" i="21"/>
  <c r="L17" i="21"/>
  <c r="K17" i="21"/>
  <c r="J17" i="21"/>
  <c r="I17" i="21"/>
  <c r="H17" i="21"/>
  <c r="G17" i="21"/>
  <c r="F17" i="21"/>
  <c r="E17" i="21"/>
  <c r="D17" i="21"/>
  <c r="C17" i="21"/>
  <c r="B17" i="21"/>
  <c r="AH16" i="21"/>
  <c r="AH10" i="21"/>
  <c r="AH9" i="21"/>
  <c r="AH8" i="21"/>
  <c r="AH7" i="21"/>
  <c r="AH4" i="21"/>
  <c r="B1" i="21"/>
  <c r="AE17" i="20"/>
  <c r="AD17" i="20"/>
  <c r="AC17" i="20"/>
  <c r="AB17" i="20"/>
  <c r="AA17" i="20"/>
  <c r="Z17" i="20"/>
  <c r="Y17" i="20"/>
  <c r="X17" i="20"/>
  <c r="W17" i="20"/>
  <c r="V17" i="20"/>
  <c r="U17" i="20"/>
  <c r="T17" i="20"/>
  <c r="S17" i="20"/>
  <c r="R17" i="20"/>
  <c r="Q17" i="20"/>
  <c r="P17" i="20"/>
  <c r="O17" i="20"/>
  <c r="N17" i="20"/>
  <c r="M17" i="20"/>
  <c r="L17" i="20"/>
  <c r="K17" i="20"/>
  <c r="J17" i="20"/>
  <c r="I17" i="20"/>
  <c r="H17" i="20"/>
  <c r="G17" i="20"/>
  <c r="F17" i="20"/>
  <c r="E17" i="20"/>
  <c r="D17" i="20"/>
  <c r="C17" i="20"/>
  <c r="B17" i="20"/>
  <c r="AH4" i="20"/>
  <c r="B1" i="20"/>
  <c r="AE17" i="19"/>
  <c r="AD17" i="19"/>
  <c r="AC17" i="19"/>
  <c r="AB17" i="19"/>
  <c r="AA17" i="19"/>
  <c r="Z17" i="19"/>
  <c r="Y17" i="19"/>
  <c r="X17" i="19"/>
  <c r="W17" i="19"/>
  <c r="V17" i="19"/>
  <c r="U17" i="19"/>
  <c r="T17" i="19"/>
  <c r="S17" i="19"/>
  <c r="R17" i="19"/>
  <c r="Q17" i="19"/>
  <c r="P17" i="19"/>
  <c r="O17" i="19"/>
  <c r="N17" i="19"/>
  <c r="M17" i="19"/>
  <c r="L17" i="19"/>
  <c r="K17" i="19"/>
  <c r="J17" i="19"/>
  <c r="I17" i="19"/>
  <c r="H17" i="19"/>
  <c r="G17" i="19"/>
  <c r="F17" i="19"/>
  <c r="E17" i="19"/>
  <c r="D17" i="19"/>
  <c r="C17" i="19"/>
  <c r="B17" i="19"/>
  <c r="AH16" i="19"/>
  <c r="AH10" i="19"/>
  <c r="AH9" i="19"/>
  <c r="AH8" i="19"/>
  <c r="AH7" i="19"/>
  <c r="AH4" i="19"/>
  <c r="B1" i="19"/>
  <c r="AE17" i="18"/>
  <c r="AD17" i="18"/>
  <c r="AC17" i="18"/>
  <c r="AB17" i="18"/>
  <c r="AA17" i="18"/>
  <c r="Z17" i="18"/>
  <c r="Y17" i="18"/>
  <c r="X17" i="18"/>
  <c r="W17" i="18"/>
  <c r="V17" i="18"/>
  <c r="U17" i="18"/>
  <c r="T17" i="18"/>
  <c r="S17" i="18"/>
  <c r="R17" i="18"/>
  <c r="Q17" i="18"/>
  <c r="P17" i="18"/>
  <c r="O17" i="18"/>
  <c r="N17" i="18"/>
  <c r="M17" i="18"/>
  <c r="L17" i="18"/>
  <c r="K17" i="18"/>
  <c r="J17" i="18"/>
  <c r="I17" i="18"/>
  <c r="H17" i="18"/>
  <c r="G17" i="18"/>
  <c r="F17" i="18"/>
  <c r="E17" i="18"/>
  <c r="D17" i="18"/>
  <c r="C17" i="18"/>
  <c r="B17" i="18"/>
  <c r="AH17" i="18"/>
  <c r="AH4" i="18"/>
  <c r="B1" i="18"/>
  <c r="AE17" i="17"/>
  <c r="AD17" i="17"/>
  <c r="AC17" i="17"/>
  <c r="AB17" i="17"/>
  <c r="AA17" i="17"/>
  <c r="Z17" i="17"/>
  <c r="Y17" i="17"/>
  <c r="X17" i="17"/>
  <c r="W17" i="17"/>
  <c r="V17" i="17"/>
  <c r="U17" i="17"/>
  <c r="T17" i="17"/>
  <c r="S17" i="17"/>
  <c r="R17" i="17"/>
  <c r="Q17" i="17"/>
  <c r="P17" i="17"/>
  <c r="O17" i="17"/>
  <c r="N17" i="17"/>
  <c r="M17" i="17"/>
  <c r="L17" i="17"/>
  <c r="K17" i="17"/>
  <c r="J17" i="17"/>
  <c r="I17" i="17"/>
  <c r="H17" i="17"/>
  <c r="G17" i="17"/>
  <c r="F17" i="17"/>
  <c r="E17" i="17"/>
  <c r="D17" i="17"/>
  <c r="C17" i="17"/>
  <c r="B17" i="17"/>
  <c r="AH16" i="17"/>
  <c r="AH10" i="17"/>
  <c r="AH9" i="17"/>
  <c r="AH8" i="17"/>
  <c r="AH7" i="17"/>
  <c r="AH4" i="17"/>
  <c r="B1" i="17"/>
  <c r="B1" i="15"/>
  <c r="B1" i="5"/>
  <c r="AH17" i="17" l="1"/>
  <c r="AH17" i="21"/>
  <c r="AH17" i="22"/>
  <c r="AH17" i="25"/>
  <c r="AH17" i="20"/>
  <c r="AH17" i="19"/>
  <c r="AH17" i="24"/>
  <c r="AH4" i="5" l="1"/>
  <c r="AH4" i="15" l="1"/>
  <c r="C17" i="4" l="1"/>
  <c r="D17" i="4"/>
  <c r="E17" i="4"/>
  <c r="F17" i="4"/>
  <c r="G17" i="4"/>
  <c r="H17" i="4"/>
  <c r="I17" i="4"/>
  <c r="J17" i="4"/>
  <c r="K17" i="4"/>
  <c r="L17" i="4"/>
  <c r="M17" i="4"/>
  <c r="N17" i="4"/>
  <c r="O17" i="4"/>
  <c r="P17" i="4"/>
  <c r="Q17" i="4"/>
  <c r="R17" i="4"/>
  <c r="S17" i="4"/>
  <c r="T17" i="4"/>
  <c r="U17" i="4"/>
  <c r="V17" i="4"/>
  <c r="W17" i="4"/>
  <c r="X17" i="4"/>
  <c r="Y17" i="4"/>
  <c r="Z17" i="4"/>
  <c r="AA17" i="4"/>
  <c r="AB17" i="4"/>
  <c r="AC17" i="4"/>
  <c r="AD17" i="4"/>
  <c r="AE17" i="4"/>
  <c r="AF17" i="4"/>
  <c r="AG17" i="4"/>
  <c r="AH7" i="15" l="1"/>
  <c r="AH8" i="15"/>
  <c r="AH9" i="15"/>
  <c r="AH10" i="15"/>
  <c r="AH17" i="15" l="1"/>
  <c r="C17" i="15"/>
  <c r="D17" i="15"/>
  <c r="E17" i="15"/>
  <c r="F17" i="15"/>
  <c r="G17" i="15"/>
  <c r="H17" i="15"/>
  <c r="I17" i="15"/>
  <c r="J17" i="15"/>
  <c r="K17" i="15"/>
  <c r="L17" i="15"/>
  <c r="M17" i="15"/>
  <c r="N17" i="15"/>
  <c r="O17" i="15"/>
  <c r="P17" i="15"/>
  <c r="Q17" i="15"/>
  <c r="R17" i="15"/>
  <c r="S17" i="15"/>
  <c r="T17" i="15"/>
  <c r="U17" i="15"/>
  <c r="V17" i="15"/>
  <c r="W17" i="15"/>
  <c r="X17" i="15"/>
  <c r="Y17" i="15"/>
  <c r="Z17" i="15"/>
  <c r="AA17" i="15"/>
  <c r="AB17" i="15"/>
  <c r="AC17" i="15"/>
  <c r="B17" i="15" l="1"/>
  <c r="B17" i="5"/>
  <c r="B17" i="4"/>
  <c r="AH16" i="5" l="1"/>
  <c r="AH10" i="5"/>
  <c r="AH9" i="5"/>
  <c r="AH16" i="4"/>
  <c r="AE17" i="5"/>
  <c r="AD17" i="5"/>
  <c r="AC17" i="5"/>
  <c r="AB17" i="5"/>
  <c r="AA17" i="5"/>
  <c r="Z17" i="5"/>
  <c r="Y17" i="5"/>
  <c r="X17" i="5"/>
  <c r="W17" i="5"/>
  <c r="V17" i="5"/>
  <c r="U17" i="5"/>
  <c r="T17" i="5"/>
  <c r="S17" i="5"/>
  <c r="R17" i="5"/>
  <c r="Q17" i="5"/>
  <c r="P17" i="5"/>
  <c r="O17" i="5"/>
  <c r="N17" i="5"/>
  <c r="M17" i="5"/>
  <c r="L17" i="5"/>
  <c r="K17" i="5"/>
  <c r="J17" i="5"/>
  <c r="I17" i="5"/>
  <c r="H17" i="5"/>
  <c r="G17" i="5"/>
  <c r="F17" i="5"/>
  <c r="E17" i="5"/>
  <c r="D17" i="5"/>
  <c r="C17" i="5"/>
  <c r="AH8" i="5"/>
  <c r="AH7" i="5"/>
  <c r="AH17" i="5" l="1"/>
  <c r="AH7" i="4"/>
  <c r="AH8" i="4"/>
  <c r="AH17" i="4" l="1"/>
</calcChain>
</file>

<file path=xl/sharedStrings.xml><?xml version="1.0" encoding="utf-8"?>
<sst xmlns="http://schemas.openxmlformats.org/spreadsheetml/2006/main" count="746" uniqueCount="115">
  <si>
    <t>Calendrier des absences des employés</t>
  </si>
  <si>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</si>
  <si>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</si>
  <si>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</si>
  <si>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</si>
  <si>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</si>
  <si>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</si>
  <si>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</si>
  <si>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</si>
  <si>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</si>
  <si>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</si>
  <si>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</si>
  <si>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</si>
  <si>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</si>
  <si>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</si>
  <si>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</si>
  <si>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</si>
  <si>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</si>
  <si>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</si>
  <si>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</si>
  <si>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</si>
  <si>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</si>
  <si>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</si>
  <si>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</si>
  <si>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</si>
  <si>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</si>
  <si>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</si>
  <si>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</si>
  <si>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</si>
  <si>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</si>
  <si>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</si>
  <si>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</si>
  <si>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</si>
  <si>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</si>
  <si>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</si>
  <si>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</si>
  <si>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</si>
  <si>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</si>
  <si>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</si>
  <si>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</si>
  <si>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</si>
  <si>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</si>
  <si>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</si>
  <si>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</si>
  <si>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</si>
  <si>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</si>
  <si>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</si>
  <si>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</si>
  <si>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</si>
  <si>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</si>
  <si>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</si>
  <si>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</si>
  <si>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</si>
  <si>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</si>
  <si>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</si>
  <si>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</si>
  <si>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</si>
  <si>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</si>
  <si>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</si>
  <si>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</si>
  <si>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</si>
  <si>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</si>
  <si>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</si>
  <si>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</si>
  <si>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</si>
  <si>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Employé 6</t>
  </si>
  <si>
    <t>Employé 7</t>
  </si>
  <si>
    <t>Employé 8</t>
  </si>
  <si>
    <t>Employé 9</t>
  </si>
  <si>
    <t>Employé 10</t>
  </si>
  <si>
    <t>A</t>
  </si>
  <si>
    <t>Accident</t>
  </si>
  <si>
    <t>J</t>
  </si>
  <si>
    <t>Absence justifiée</t>
  </si>
  <si>
    <t>i</t>
  </si>
  <si>
    <t>Absence injustifiée</t>
  </si>
  <si>
    <t>I</t>
  </si>
  <si>
    <t>X</t>
  </si>
  <si>
    <t>Absence</t>
  </si>
  <si>
    <t>Employé 1</t>
  </si>
  <si>
    <t>Employé 2</t>
  </si>
  <si>
    <t>Employé 3</t>
  </si>
  <si>
    <t>Employé 4</t>
  </si>
  <si>
    <t>Employé 5</t>
  </si>
  <si>
    <t>Employé 6</t>
  </si>
  <si>
    <t>Employé 7</t>
  </si>
  <si>
    <t>Employé 8</t>
  </si>
  <si>
    <t>Employé 9</t>
  </si>
  <si>
    <t>Employé 10</t>
  </si>
  <si>
    <t>Employé 11</t>
  </si>
  <si>
    <t>Employé 12</t>
  </si>
  <si>
    <t>Employé 13</t>
  </si>
  <si>
    <t>Employé 14</t>
  </si>
  <si>
    <t>Employé 15</t>
  </si>
  <si>
    <t>Employé 16</t>
  </si>
  <si>
    <t>Employé 17</t>
  </si>
  <si>
    <t>Employé 18</t>
  </si>
  <si>
    <t>Employé 19</t>
  </si>
  <si>
    <t>Employé 20</t>
  </si>
  <si>
    <t>Employé 21</t>
  </si>
  <si>
    <t>Employé 22</t>
  </si>
  <si>
    <t>Employé 23</t>
  </si>
  <si>
    <t>Employé 24</t>
  </si>
  <si>
    <t>Employé 25</t>
  </si>
  <si>
    <t>Employé 26</t>
  </si>
  <si>
    <t>Employé 27</t>
  </si>
  <si>
    <t>Employé 28</t>
  </si>
  <si>
    <t>Employé 29</t>
  </si>
  <si>
    <t>Employé 30</t>
  </si>
  <si>
    <t>Employé 31</t>
  </si>
  <si>
    <t>Employé 32</t>
  </si>
  <si>
    <t>Employé 33</t>
  </si>
  <si>
    <t>Employé 34</t>
  </si>
  <si>
    <t>Employé 35</t>
  </si>
  <si>
    <t>Employé 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</si>
</sst>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0"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8"/>
      <name val="Calibri"/>
      <family val="2"/>
      <scheme val="minor"/>
    </font>
  </fonts>
  <fills count="38">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rgb="FF00B050"/>
        <bgColor indexed="64"/>
      </patternFill>
    </fill>
    <fill>
      <patternFill patternType="solid">
        <fgColor rgb="FF00B0F0"/>
        <bgColor indexed="64"/>
      </patternFill>
    </fill>
    <fill>
      <patternFill patternType="solid">
        <fgColor theme="8"/>
        <bgColor indexed="64"/>
      </patternFill>
    </fill>
    <fill>
      <patternFill patternType="solid">
        <fgColor rgb="FFFF0000"/>
        <bgColor indexed="64"/>
      </patternFill>
    </fill>
    <fill>
      <patternFill patternType="solid">
        <fgColor theme="7" tint="0.39997558519241921"/>
        <bgColor indexed="64"/>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30">
    <xf numFmtId="0" fontId="0" fillId="0" borderId="0" xfId="0">
      <alignment horizontal="left" vertical="center"/>
    </xf>
    <xf numFmtId="0" fontId="1" fillId="0" borderId="0" xfId="26">
      <alignment horizontal="left" vertical="center" wrapText="1" indent="2"/>
    </xf>
    <xf numFmtId="0" fontId="0" fillId="0" borderId="0" xfId="0" applyAlignment="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Alignment="1" applyProtection="1">
      <alignment horizontal="center" vertical="center"/>
    </xf>
    <xf numFmtId="166" fontId="2" fillId="9" borderId="0" xfId="8" applyNumberFormat="1" applyAlignment="1" applyProtection="1">
      <alignment horizontal="center" vertical="center"/>
    </xf>
    <xf numFmtId="166" fontId="2" fillId="14" borderId="0" xfId="24" applyNumberForma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5" fillId="2" borderId="0" xfId="3" applyProtection="1">
      <alignment horizontal="center" vertical="center"/>
    </xf>
    <xf numFmtId="166" fontId="0" fillId="0" borderId="0" xfId="0" applyNumberFormat="1" applyAlignment="1">
      <alignment horizontal="center" vertical="center"/>
    </xf>
    <xf numFmtId="0" fontId="6" fillId="0" borderId="0" xfId="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0" fillId="0" borderId="0" xfId="0" applyAlignment="1">
      <alignment horizontal="left" vertical="center" wrapText="1"/>
    </xf>
    <xf numFmtId="0" fontId="2" fillId="20" borderId="0" xfId="4" applyProtection="1">
      <alignment horizontal="right" vertical="center" indent="1"/>
    </xf>
    <xf numFmtId="0" fontId="7" fillId="0" borderId="0" xfId="27">
      <alignment horizontal="center"/>
    </xf>
    <xf numFmtId="0" fontId="0" fillId="0" borderId="0" xfId="0" applyAlignment="1">
      <alignment horizontal="left" vertical="center" indent="1"/>
    </xf>
    <xf numFmtId="0" fontId="6" fillId="0" borderId="0" xfId="1">
      <alignment vertical="top"/>
    </xf>
    <xf numFmtId="0" fontId="8" fillId="0" borderId="0" xfId="0" applyFont="1" applyAlignment="1">
      <alignment horizontal="center" vertical="center"/>
    </xf>
    <xf numFmtId="0" fontId="2" fillId="33" borderId="0" xfId="12" applyFill="1" applyAlignment="1" applyProtection="1">
      <alignment horizontal="center" vertical="center"/>
    </xf>
    <xf numFmtId="0" fontId="2" fillId="34" borderId="0" xfId="19" applyFill="1" applyAlignment="1" applyProtection="1">
      <alignment horizontal="center" vertical="center"/>
    </xf>
    <xf numFmtId="0" fontId="2" fillId="35" borderId="0" xfId="23" applyFill="1" applyAlignment="1" applyProtection="1">
      <alignment horizontal="center" vertical="center"/>
    </xf>
    <xf numFmtId="166" fontId="2" fillId="37" borderId="0" xfId="8" applyNumberFormat="1" applyFill="1" applyAlignment="1" applyProtection="1">
      <alignment horizontal="center" vertical="center"/>
    </xf>
    <xf numFmtId="166" fontId="2" fillId="36" borderId="0" xfId="24" applyNumberFormat="1" applyFill="1" applyAlignment="1" applyProtection="1">
      <alignment horizontal="center" vertical="center"/>
    </xf>
    <xf numFmtId="0" fontId="0" fillId="0" borderId="0" xfId="26" applyFont="1">
      <alignment horizontal="left" vertical="center" wrapText="1" indent="2"/>
    </xf>
    <xf numFmtId="0" fontId="5" fillId="2" borderId="0" xfId="3" applyProtection="1">
      <alignment horizontal="center" vertical="center"/>
    </xf>
    <xf numFmtId="0" fontId="1" fillId="2" borderId="0" xfId="21" applyAlignment="1" applyProtection="1">
      <alignment horizontal="left" vertical="center"/>
    </xf>
    <xf numFmtId="0" fontId="0" fillId="2" borderId="0" xfId="21" applyFont="1" applyAlignment="1" applyProtection="1">
      <alignment horizontal="left"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15">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ont>
        <b/>
        <i val="0"/>
      </font>
      <fill>
        <patternFill>
          <bgColor rgb="FFFF0000"/>
        </patternFill>
      </fill>
    </dxf>
    <dxf>
      <font>
        <b/>
        <i val="0"/>
        <color theme="1"/>
      </font>
      <fill>
        <patternFill>
          <bgColor rgb="FF00B050"/>
        </patternFill>
      </fill>
    </dxf>
    <dxf>
      <font>
        <b/>
        <i val="0"/>
        <color theme="1"/>
      </font>
      <fill>
        <patternFill>
          <bgColor rgb="FF00B0F0"/>
        </patternFill>
      </fill>
    </dxf>
    <dxf>
      <font>
        <b/>
        <i val="0"/>
        <color theme="1"/>
      </font>
      <fill>
        <patternFill>
          <bgColor theme="8"/>
        </patternFill>
      </fill>
    </dxf>
    <dxf>
      <font>
        <b/>
        <i val="0"/>
        <color theme="1"/>
      </font>
      <fill>
        <patternFill>
          <bgColor theme="7" tint="0.39994506668294322"/>
        </patternFill>
      </fill>
    </dxf>
    <dxf>
      <font>
        <b/>
        <i val="0"/>
        <color theme="1"/>
      </font>
      <fill>
        <patternFill>
          <bgColor rgb="FFFF0000"/>
        </patternFill>
      </fill>
    </dxf>
    <dxf>
      <font>
        <b/>
        <i val="0"/>
        <color theme="1"/>
      </font>
      <fill>
        <patternFill>
          <bgColor rgb="FF00B0F0"/>
        </patternFill>
      </fill>
    </dxf>
    <dxf>
      <font>
        <b/>
        <i val="0"/>
      </font>
      <fill>
        <patternFill>
          <bgColor rgb="FFFF0000"/>
        </patternFill>
      </fill>
    </dxf>
    <dxf>
      <font>
        <b/>
        <i val="0"/>
        <color theme="1"/>
      </font>
      <fill>
        <patternFill>
          <bgColor rgb="FF00B050"/>
        </patternFill>
      </fill>
    </dxf>
    <dxf>
      <font>
        <b/>
        <i val="0"/>
        <color theme="1"/>
      </font>
      <fill>
        <patternFill>
          <bgColor theme="8"/>
        </patternFill>
      </fill>
    </dxf>
    <dxf>
      <font>
        <b/>
        <i val="0"/>
        <color theme="1"/>
      </font>
      <fill>
        <patternFill>
          <bgColor theme="7" tint="0.39994506668294322"/>
        </patternFill>
      </fill>
    </dxf>
    <dxf>
      <font>
        <b/>
        <i val="0"/>
        <color theme="1"/>
      </font>
      <fill>
        <patternFill>
          <bgColor rgb="FFFF0000"/>
        </patternFill>
      </fill>
    </dxf>
    <dxf>
      <font>
        <b/>
        <i val="0"/>
        <color theme="1"/>
      </font>
      <fill>
        <patternFill>
          <bgColor rgb="FF00B050"/>
        </patternFill>
      </fill>
    </dxf>
    <dxf>
      <font>
        <b/>
        <i val="0"/>
        <color theme="1"/>
      </font>
      <fill>
        <patternFill>
          <bgColor rgb="FF00B0F0"/>
        </patternFill>
      </fill>
    </dxf>
    <dxf>
      <font>
        <b/>
        <i val="0"/>
        <color theme="1"/>
      </font>
      <fill>
        <patternFill>
          <bgColor theme="8"/>
        </patternFill>
      </fill>
    </dxf>
    <dxf>
      <font>
        <b/>
        <i val="0"/>
        <color theme="1"/>
      </font>
      <fill>
        <patternFill>
          <bgColor theme="7" tint="0.39994506668294322"/>
        </patternFill>
      </fill>
    </dxf>
    <dxf>
      <font>
        <b/>
        <i val="0"/>
        <color theme="1"/>
      </font>
      <fill>
        <patternFill>
          <bgColor rgb="FFFF0000"/>
        </patternFill>
      </fill>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numFmt numFmtId="1" formatCode="0"/>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numFmt numFmtId="1" formatCode="0"/>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numFmt numFmtId="1" formatCode="0"/>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numFmt numFmtId="1" formatCode="0"/>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914"/>
      <tableStyleElement type="headerRow" dxfId="913"/>
      <tableStyleElement type="totalRow" dxfId="912"/>
      <tableStyleElement type="firstColumn" dxfId="911"/>
      <tableStyleElement type="lastColumn" dxfId="910"/>
      <tableStyleElement type="firstRowStripe" dxfId="909"/>
      <tableStyleElement type="secondRowStripe" dxfId="908"/>
      <tableStyleElement type="firstColumnStripe" dxfId="907"/>
      <tableStyleElement type="secondColumnStripe" dxfId="906"/>
      <tableStyleElement type="firstHeaderCell" dxfId="905"/>
      <tableStyleElement type="lastHeaderCell" dxfId="904"/>
      <tableStyleElement type="firstTotalCell" dxfId="903"/>
      <tableStyleElement type="lastTotalCell" dxfId="902"/>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17" totalsRowCount="1" headerRowDxfId="901" dataDxfId="900" totalsRowDxfId="899">
  <autoFilter ref="B6:AH16"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898" totalsRowDxfId="32" dataCellStyle="Employé">
      <totalsRowFormula>NomMois&amp;" Total"</totalsRowFormula>
    </tableColumn>
    <tableColumn id="2" xr3:uid="{00000000-0010-0000-0000-000002000000}" name="1" totalsRowFunction="custom" dataDxfId="897" totalsRowDxfId="31">
      <totalsRowFormula>SUBTOTAL(103,Janvier!$C$7:$C$16)</totalsRowFormula>
    </tableColumn>
    <tableColumn id="3" xr3:uid="{00000000-0010-0000-0000-000003000000}" name="2" totalsRowFunction="custom" dataDxfId="896" totalsRowDxfId="30">
      <totalsRowFormula>SUBTOTAL(103,Janvier!$D$7:$D$16)</totalsRowFormula>
    </tableColumn>
    <tableColumn id="4" xr3:uid="{00000000-0010-0000-0000-000004000000}" name="3" totalsRowFunction="custom" dataDxfId="895" totalsRowDxfId="29">
      <totalsRowFormula>SUBTOTAL(103,Janvier!$E$7:$E$16)</totalsRowFormula>
    </tableColumn>
    <tableColumn id="5" xr3:uid="{00000000-0010-0000-0000-000005000000}" name="4" totalsRowFunction="custom" dataDxfId="894" totalsRowDxfId="28">
      <totalsRowFormula>SUBTOTAL(103,Janvier!$F$7:$F$16)</totalsRowFormula>
    </tableColumn>
    <tableColumn id="6" xr3:uid="{00000000-0010-0000-0000-000006000000}" name="5" totalsRowFunction="custom" totalsRowDxfId="27">
      <totalsRowFormula>SUBTOTAL(103,Janvier!$G$7:$G$16)</totalsRowFormula>
    </tableColumn>
    <tableColumn id="7" xr3:uid="{00000000-0010-0000-0000-000007000000}" name="6" totalsRowFunction="custom" dataDxfId="893" totalsRowDxfId="26">
      <totalsRowFormula>SUBTOTAL(103,Janvier!$H$7:$H$16)</totalsRowFormula>
    </tableColumn>
    <tableColumn id="8" xr3:uid="{00000000-0010-0000-0000-000008000000}" name="7" totalsRowFunction="custom" dataDxfId="892" totalsRowDxfId="25">
      <totalsRowFormula>SUBTOTAL(103,Janvier!$I$7:$I$16)</totalsRowFormula>
    </tableColumn>
    <tableColumn id="9" xr3:uid="{00000000-0010-0000-0000-000009000000}" name="8" totalsRowFunction="custom" dataDxfId="891" totalsRowDxfId="24">
      <totalsRowFormula>SUBTOTAL(103,Janvier!$J$7:$J$16)</totalsRowFormula>
    </tableColumn>
    <tableColumn id="10" xr3:uid="{00000000-0010-0000-0000-00000A000000}" name="9" totalsRowFunction="custom" dataDxfId="890" totalsRowDxfId="23">
      <totalsRowFormula>SUBTOTAL(103,Janvier!$K$7:$K$16)</totalsRowFormula>
    </tableColumn>
    <tableColumn id="11" xr3:uid="{00000000-0010-0000-0000-00000B000000}" name="10" totalsRowFunction="custom" dataDxfId="889" totalsRowDxfId="22">
      <totalsRowFormula>SUBTOTAL(103,Janvier!$L$7:$L$16)</totalsRowFormula>
    </tableColumn>
    <tableColumn id="12" xr3:uid="{00000000-0010-0000-0000-00000C000000}" name="11" totalsRowFunction="custom" dataDxfId="888" totalsRowDxfId="21">
      <totalsRowFormula>SUBTOTAL(103,Janvier!$M$7:$M$16)</totalsRowFormula>
    </tableColumn>
    <tableColumn id="13" xr3:uid="{00000000-0010-0000-0000-00000D000000}" name="12" totalsRowFunction="custom" dataDxfId="887" totalsRowDxfId="20">
      <totalsRowFormula>SUBTOTAL(103,Janvier!$N$7:$N$16)</totalsRowFormula>
    </tableColumn>
    <tableColumn id="14" xr3:uid="{00000000-0010-0000-0000-00000E000000}" name="13" totalsRowFunction="custom" dataDxfId="886" totalsRowDxfId="19">
      <totalsRowFormula>SUBTOTAL(103,Janvier!$O$7:$O$16)</totalsRowFormula>
    </tableColumn>
    <tableColumn id="15" xr3:uid="{00000000-0010-0000-0000-00000F000000}" name="14" totalsRowFunction="custom" dataDxfId="885" totalsRowDxfId="18">
      <totalsRowFormula>SUBTOTAL(103,Janvier!$P$7:$P$16)</totalsRowFormula>
    </tableColumn>
    <tableColumn id="16" xr3:uid="{00000000-0010-0000-0000-000010000000}" name="15" totalsRowFunction="custom" dataDxfId="884" totalsRowDxfId="17">
      <totalsRowFormula>SUBTOTAL(103,Janvier!$Q$7:$Q$16)</totalsRowFormula>
    </tableColumn>
    <tableColumn id="17" xr3:uid="{00000000-0010-0000-0000-000011000000}" name="16" totalsRowFunction="custom" dataDxfId="883" totalsRowDxfId="16">
      <totalsRowFormula>SUBTOTAL(103,Janvier!$R$7:$R$16)</totalsRowFormula>
    </tableColumn>
    <tableColumn id="18" xr3:uid="{00000000-0010-0000-0000-000012000000}" name="17" totalsRowFunction="custom" dataDxfId="882" totalsRowDxfId="15">
      <totalsRowFormula>SUBTOTAL(103,Janvier!$S$7:$S$16)</totalsRowFormula>
    </tableColumn>
    <tableColumn id="19" xr3:uid="{00000000-0010-0000-0000-000013000000}" name="18" totalsRowFunction="custom" dataDxfId="881" totalsRowDxfId="14">
      <totalsRowFormula>SUBTOTAL(103,Janvier!$T$7:$T$16)</totalsRowFormula>
    </tableColumn>
    <tableColumn id="20" xr3:uid="{00000000-0010-0000-0000-000014000000}" name="19" totalsRowFunction="custom" dataDxfId="880" totalsRowDxfId="13">
      <totalsRowFormula>SUBTOTAL(103,Janvier!$U$7:$U$16)</totalsRowFormula>
    </tableColumn>
    <tableColumn id="21" xr3:uid="{00000000-0010-0000-0000-000015000000}" name="20" totalsRowFunction="custom" dataDxfId="879" totalsRowDxfId="12">
      <totalsRowFormula>SUBTOTAL(103,Janvier!$V$7:$V$16)</totalsRowFormula>
    </tableColumn>
    <tableColumn id="22" xr3:uid="{00000000-0010-0000-0000-000016000000}" name="21" totalsRowFunction="custom" dataDxfId="878" totalsRowDxfId="11">
      <totalsRowFormula>SUBTOTAL(103,Janvier!$W$7:$W$16)</totalsRowFormula>
    </tableColumn>
    <tableColumn id="23" xr3:uid="{00000000-0010-0000-0000-000017000000}" name="22" totalsRowFunction="custom" dataDxfId="877" totalsRowDxfId="10">
      <totalsRowFormula>SUBTOTAL(103,Janvier!$X$7:$X$16)</totalsRowFormula>
    </tableColumn>
    <tableColumn id="24" xr3:uid="{00000000-0010-0000-0000-000018000000}" name="23" totalsRowFunction="custom" dataDxfId="876" totalsRowDxfId="9">
      <totalsRowFormula>SUBTOTAL(103,Janvier!$Y$7:$Y$16)</totalsRowFormula>
    </tableColumn>
    <tableColumn id="25" xr3:uid="{00000000-0010-0000-0000-000019000000}" name="24" totalsRowFunction="custom" dataDxfId="875" totalsRowDxfId="8">
      <totalsRowFormula>SUBTOTAL(103,Janvier!$Z$7:$Z$16)</totalsRowFormula>
    </tableColumn>
    <tableColumn id="26" xr3:uid="{00000000-0010-0000-0000-00001A000000}" name="25" totalsRowFunction="custom" dataDxfId="874" totalsRowDxfId="7">
      <totalsRowFormula>SUBTOTAL(103,Janvier!$AA$7:$AA$16)</totalsRowFormula>
    </tableColumn>
    <tableColumn id="27" xr3:uid="{00000000-0010-0000-0000-00001B000000}" name="26" totalsRowFunction="custom" dataDxfId="873" totalsRowDxfId="6">
      <totalsRowFormula>SUBTOTAL(103,Janvier!$AB$7:$AB$16)</totalsRowFormula>
    </tableColumn>
    <tableColumn id="28" xr3:uid="{00000000-0010-0000-0000-00001C000000}" name="27" totalsRowFunction="custom" dataDxfId="872" totalsRowDxfId="5">
      <totalsRowFormula>SUBTOTAL(103,Janvier!$AC$7:$AC$16)</totalsRowFormula>
    </tableColumn>
    <tableColumn id="29" xr3:uid="{00000000-0010-0000-0000-00001D000000}" name="28" totalsRowFunction="custom" dataDxfId="871" totalsRowDxfId="4">
      <totalsRowFormula>SUBTOTAL(103,Janvier!$AD$7:$AD$16)</totalsRowFormula>
    </tableColumn>
    <tableColumn id="30" xr3:uid="{00000000-0010-0000-0000-00001E000000}" name="29" totalsRowFunction="custom" dataDxfId="870" totalsRowDxfId="3">
      <totalsRowFormula>SUBTOTAL(103,Janvier!$AE$7:$AE$16)</totalsRowFormula>
    </tableColumn>
    <tableColumn id="31" xr3:uid="{00000000-0010-0000-0000-00001F000000}" name="30" totalsRowFunction="custom" dataDxfId="869" totalsRowDxfId="2">
      <totalsRowFormula>SUBTOTAL(103,Janvier!$AF$7:$AF$16)</totalsRowFormula>
    </tableColumn>
    <tableColumn id="32" xr3:uid="{00000000-0010-0000-0000-000020000000}" name="31" totalsRowFunction="custom" dataDxfId="868" totalsRowDxfId="1">
      <totalsRowFormula>SUBTOTAL(103,Janvier!$AG$7:$AG$16)</totalsRowFormula>
    </tableColumn>
    <tableColumn id="33" xr3:uid="{00000000-0010-0000-0000-000021000000}" name="Total des jours" totalsRowFunction="sum" dataDxfId="867" totalsRowDxfId="0">
      <calculatedColumnFormula>COUNTA(Janvier!$C7:$AG7)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7" totalsRowCount="1" headerRowDxfId="859" dataDxfId="858" totalsRowDxfId="857">
  <tableColumns count="33">
    <tableColumn id="1" xr3:uid="{00000000-0010-0000-0100-000001000000}" name="Nom de l’employé" totalsRowFunction="custom" dataDxfId="856" totalsRowDxfId="855" dataCellStyle="Employé">
      <totalsRowFormula>NomMois&amp;" Total"</totalsRowFormula>
    </tableColumn>
    <tableColumn id="2" xr3:uid="{00000000-0010-0000-0100-000002000000}" name="1" totalsRowFunction="count" dataDxfId="854" totalsRowDxfId="853"/>
    <tableColumn id="3" xr3:uid="{00000000-0010-0000-0100-000003000000}" name="2" totalsRowFunction="count" dataDxfId="852" totalsRowDxfId="851"/>
    <tableColumn id="4" xr3:uid="{00000000-0010-0000-0100-000004000000}" name="3" totalsRowFunction="count" dataDxfId="850" totalsRowDxfId="849"/>
    <tableColumn id="5" xr3:uid="{00000000-0010-0000-0100-000005000000}" name="4" totalsRowFunction="count" dataDxfId="848" totalsRowDxfId="847"/>
    <tableColumn id="6" xr3:uid="{00000000-0010-0000-0100-000006000000}" name="5" totalsRowFunction="count" dataDxfId="846" totalsRowDxfId="845"/>
    <tableColumn id="7" xr3:uid="{00000000-0010-0000-0100-000007000000}" name="6" totalsRowFunction="count" dataDxfId="844" totalsRowDxfId="843"/>
    <tableColumn id="8" xr3:uid="{00000000-0010-0000-0100-000008000000}" name="7" totalsRowFunction="count" dataDxfId="842" totalsRowDxfId="841"/>
    <tableColumn id="9" xr3:uid="{00000000-0010-0000-0100-000009000000}" name="8" totalsRowFunction="count" dataDxfId="840" totalsRowDxfId="839"/>
    <tableColumn id="10" xr3:uid="{00000000-0010-0000-0100-00000A000000}" name="9" totalsRowFunction="count" dataDxfId="838" totalsRowDxfId="837"/>
    <tableColumn id="11" xr3:uid="{00000000-0010-0000-0100-00000B000000}" name="10" totalsRowFunction="count" dataDxfId="836" totalsRowDxfId="835"/>
    <tableColumn id="12" xr3:uid="{00000000-0010-0000-0100-00000C000000}" name="11" totalsRowFunction="count" dataDxfId="834" totalsRowDxfId="833"/>
    <tableColumn id="13" xr3:uid="{00000000-0010-0000-0100-00000D000000}" name="12" totalsRowFunction="count" dataDxfId="832" totalsRowDxfId="831"/>
    <tableColumn id="14" xr3:uid="{00000000-0010-0000-0100-00000E000000}" name="13" totalsRowFunction="count" dataDxfId="830" totalsRowDxfId="829"/>
    <tableColumn id="15" xr3:uid="{00000000-0010-0000-0100-00000F000000}" name="14" totalsRowFunction="count" dataDxfId="828" totalsRowDxfId="827"/>
    <tableColumn id="16" xr3:uid="{00000000-0010-0000-0100-000010000000}" name="15" totalsRowFunction="count" dataDxfId="826" totalsRowDxfId="825"/>
    <tableColumn id="17" xr3:uid="{00000000-0010-0000-0100-000011000000}" name="16" totalsRowFunction="count" dataDxfId="824" totalsRowDxfId="823"/>
    <tableColumn id="18" xr3:uid="{00000000-0010-0000-0100-000012000000}" name="17" totalsRowFunction="count" dataDxfId="822" totalsRowDxfId="821"/>
    <tableColumn id="19" xr3:uid="{00000000-0010-0000-0100-000013000000}" name="18" totalsRowFunction="count" dataDxfId="820" totalsRowDxfId="819"/>
    <tableColumn id="20" xr3:uid="{00000000-0010-0000-0100-000014000000}" name="19" totalsRowFunction="count" dataDxfId="818" totalsRowDxfId="817"/>
    <tableColumn id="21" xr3:uid="{00000000-0010-0000-0100-000015000000}" name="20" totalsRowFunction="count" dataDxfId="816" totalsRowDxfId="815"/>
    <tableColumn id="22" xr3:uid="{00000000-0010-0000-0100-000016000000}" name="21" totalsRowFunction="count" dataDxfId="814" totalsRowDxfId="813"/>
    <tableColumn id="23" xr3:uid="{00000000-0010-0000-0100-000017000000}" name="22" totalsRowFunction="count" dataDxfId="812" totalsRowDxfId="811"/>
    <tableColumn id="24" xr3:uid="{00000000-0010-0000-0100-000018000000}" name="23" totalsRowFunction="count" dataDxfId="810" totalsRowDxfId="809"/>
    <tableColumn id="25" xr3:uid="{00000000-0010-0000-0100-000019000000}" name="24" totalsRowFunction="count" dataDxfId="808" totalsRowDxfId="807"/>
    <tableColumn id="26" xr3:uid="{00000000-0010-0000-0100-00001A000000}" name="25" totalsRowFunction="count" dataDxfId="806" totalsRowDxfId="805"/>
    <tableColumn id="27" xr3:uid="{00000000-0010-0000-0100-00001B000000}" name="26" totalsRowFunction="count" dataDxfId="804" totalsRowDxfId="803"/>
    <tableColumn id="28" xr3:uid="{00000000-0010-0000-0100-00001C000000}" name="27" totalsRowFunction="count" dataDxfId="802" totalsRowDxfId="801"/>
    <tableColumn id="29" xr3:uid="{00000000-0010-0000-0100-00001D000000}" name="28" totalsRowFunction="count" dataDxfId="800" totalsRowDxfId="799"/>
    <tableColumn id="30" xr3:uid="{00000000-0010-0000-0100-00001E000000}" name="29" totalsRowFunction="count" dataDxfId="798" totalsRowDxfId="797"/>
    <tableColumn id="31" xr3:uid="{00000000-0010-0000-0100-00001F000000}" name=" " dataDxfId="796" totalsRowDxfId="795"/>
    <tableColumn id="32" xr3:uid="{00000000-0010-0000-0100-000020000000}" name="  " dataDxfId="794" totalsRowDxfId="793"/>
    <tableColumn id="33" xr3:uid="{00000000-0010-0000-0100-000021000000}" name="Total des jours" totalsRowFunction="sum" dataDxfId="792" totalsRowDxfId="791">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H17" totalsRowCount="1" headerRowDxfId="785" dataDxfId="784" totalsRowDxfId="783">
  <tableColumns count="33">
    <tableColumn id="1" xr3:uid="{00000000-0010-0000-0200-000001000000}" name="Nom de l’employé" totalsRowFunction="custom" dataDxfId="782" totalsRowDxfId="781" dataCellStyle="Employé">
      <totalsRowFormula>NomMois&amp;" Total"</totalsRowFormula>
    </tableColumn>
    <tableColumn id="2" xr3:uid="{00000000-0010-0000-0200-000002000000}" name="1" totalsRowFunction="count" dataDxfId="780" totalsRowDxfId="779"/>
    <tableColumn id="3" xr3:uid="{00000000-0010-0000-0200-000003000000}" name="2" totalsRowFunction="count" dataDxfId="778" totalsRowDxfId="777"/>
    <tableColumn id="4" xr3:uid="{00000000-0010-0000-0200-000004000000}" name="3" totalsRowFunction="count" dataDxfId="776" totalsRowDxfId="775"/>
    <tableColumn id="5" xr3:uid="{00000000-0010-0000-0200-000005000000}" name="4" totalsRowFunction="count" dataDxfId="774" totalsRowDxfId="773"/>
    <tableColumn id="6" xr3:uid="{00000000-0010-0000-0200-000006000000}" name="5" totalsRowFunction="count" dataDxfId="772" totalsRowDxfId="771"/>
    <tableColumn id="7" xr3:uid="{00000000-0010-0000-0200-000007000000}" name="6" totalsRowFunction="count" dataDxfId="770" totalsRowDxfId="769"/>
    <tableColumn id="8" xr3:uid="{00000000-0010-0000-0200-000008000000}" name="7" totalsRowFunction="count" dataDxfId="768" totalsRowDxfId="767"/>
    <tableColumn id="9" xr3:uid="{00000000-0010-0000-0200-000009000000}" name="8" totalsRowFunction="count" dataDxfId="766" totalsRowDxfId="765"/>
    <tableColumn id="10" xr3:uid="{00000000-0010-0000-0200-00000A000000}" name="9" totalsRowFunction="count" dataDxfId="764" totalsRowDxfId="763"/>
    <tableColumn id="11" xr3:uid="{00000000-0010-0000-0200-00000B000000}" name="10" totalsRowFunction="count" dataDxfId="762" totalsRowDxfId="761"/>
    <tableColumn id="12" xr3:uid="{00000000-0010-0000-0200-00000C000000}" name="11" totalsRowFunction="count" dataDxfId="760" totalsRowDxfId="759"/>
    <tableColumn id="13" xr3:uid="{00000000-0010-0000-0200-00000D000000}" name="12" totalsRowFunction="count" dataDxfId="758" totalsRowDxfId="757"/>
    <tableColumn id="14" xr3:uid="{00000000-0010-0000-0200-00000E000000}" name="13" totalsRowFunction="count" dataDxfId="756" totalsRowDxfId="755"/>
    <tableColumn id="15" xr3:uid="{00000000-0010-0000-0200-00000F000000}" name="14" totalsRowFunction="count" dataDxfId="754" totalsRowDxfId="753"/>
    <tableColumn id="16" xr3:uid="{00000000-0010-0000-0200-000010000000}" name="15" totalsRowFunction="count" dataDxfId="752" totalsRowDxfId="751"/>
    <tableColumn id="17" xr3:uid="{00000000-0010-0000-0200-000011000000}" name="16" totalsRowFunction="count" dataDxfId="750" totalsRowDxfId="749"/>
    <tableColumn id="18" xr3:uid="{00000000-0010-0000-0200-000012000000}" name="17" totalsRowFunction="count" dataDxfId="748" totalsRowDxfId="747"/>
    <tableColumn id="19" xr3:uid="{00000000-0010-0000-0200-000013000000}" name="18" totalsRowFunction="count" dataDxfId="746" totalsRowDxfId="745"/>
    <tableColumn id="20" xr3:uid="{00000000-0010-0000-0200-000014000000}" name="19" totalsRowFunction="count" dataDxfId="744" totalsRowDxfId="743"/>
    <tableColumn id="21" xr3:uid="{00000000-0010-0000-0200-000015000000}" name="20" totalsRowFunction="count" dataDxfId="742" totalsRowDxfId="741"/>
    <tableColumn id="22" xr3:uid="{00000000-0010-0000-0200-000016000000}" name="21" totalsRowFunction="count" dataDxfId="740" totalsRowDxfId="739"/>
    <tableColumn id="23" xr3:uid="{00000000-0010-0000-0200-000017000000}" name="22" totalsRowFunction="count" dataDxfId="738" totalsRowDxfId="737"/>
    <tableColumn id="24" xr3:uid="{00000000-0010-0000-0200-000018000000}" name="23" totalsRowFunction="count" dataDxfId="736" totalsRowDxfId="735"/>
    <tableColumn id="25" xr3:uid="{00000000-0010-0000-0200-000019000000}" name="24" totalsRowFunction="count" dataDxfId="734" totalsRowDxfId="733"/>
    <tableColumn id="26" xr3:uid="{00000000-0010-0000-0200-00001A000000}" name="25" totalsRowFunction="count" dataDxfId="732" totalsRowDxfId="731"/>
    <tableColumn id="27" xr3:uid="{00000000-0010-0000-0200-00001B000000}" name="26" totalsRowFunction="count" dataDxfId="730" totalsRowDxfId="729"/>
    <tableColumn id="28" xr3:uid="{00000000-0010-0000-0200-00001C000000}" name="27" totalsRowFunction="count" dataDxfId="728" totalsRowDxfId="727"/>
    <tableColumn id="29" xr3:uid="{00000000-0010-0000-0200-00001D000000}" name="28" totalsRowFunction="count" dataDxfId="726" totalsRowDxfId="725"/>
    <tableColumn id="30" xr3:uid="{00000000-0010-0000-0200-00001E000000}" name="29" totalsRowFunction="count" dataDxfId="724" totalsRowDxfId="723"/>
    <tableColumn id="31" xr3:uid="{00000000-0010-0000-0200-00001F000000}" name="30" totalsRowFunction="count" dataDxfId="722" totalsRowDxfId="721"/>
    <tableColumn id="32" xr3:uid="{00000000-0010-0000-0200-000020000000}" name="31" totalsRowFunction="count" dataDxfId="720" totalsRowDxfId="719"/>
    <tableColumn id="33" xr3:uid="{00000000-0010-0000-0200-000021000000}" name="Total des jours" totalsRowFunction="sum" dataDxfId="718" totalsRowDxfId="717">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H17" totalsRowCount="1" headerRowDxfId="711" dataDxfId="710" totalsRowDxfId="709">
  <tableColumns count="33">
    <tableColumn id="1" xr3:uid="{00000000-0010-0000-0300-000001000000}" name="Nom de l’employé" totalsRowFunction="custom" dataDxfId="708" totalsRowDxfId="707" dataCellStyle="Employé">
      <totalsRowFormula>NomMois&amp;" Total"</totalsRowFormula>
    </tableColumn>
    <tableColumn id="2" xr3:uid="{00000000-0010-0000-0300-000002000000}" name="1" totalsRowFunction="count" dataDxfId="706" totalsRowDxfId="705"/>
    <tableColumn id="3" xr3:uid="{00000000-0010-0000-0300-000003000000}" name="2" totalsRowFunction="count" dataDxfId="704" totalsRowDxfId="703"/>
    <tableColumn id="4" xr3:uid="{00000000-0010-0000-0300-000004000000}" name="3" totalsRowFunction="count" dataDxfId="702" totalsRowDxfId="701"/>
    <tableColumn id="5" xr3:uid="{00000000-0010-0000-0300-000005000000}" name="4" totalsRowFunction="count" dataDxfId="700" totalsRowDxfId="699"/>
    <tableColumn id="6" xr3:uid="{00000000-0010-0000-0300-000006000000}" name="5" totalsRowFunction="count" dataDxfId="698" totalsRowDxfId="697"/>
    <tableColumn id="7" xr3:uid="{00000000-0010-0000-0300-000007000000}" name="6" totalsRowFunction="count" dataDxfId="696" totalsRowDxfId="695"/>
    <tableColumn id="8" xr3:uid="{00000000-0010-0000-0300-000008000000}" name="7" totalsRowFunction="count" dataDxfId="694" totalsRowDxfId="693"/>
    <tableColumn id="9" xr3:uid="{00000000-0010-0000-0300-000009000000}" name="8" totalsRowFunction="count" dataDxfId="692" totalsRowDxfId="691"/>
    <tableColumn id="10" xr3:uid="{00000000-0010-0000-0300-00000A000000}" name="9" totalsRowFunction="count" dataDxfId="690" totalsRowDxfId="689"/>
    <tableColumn id="11" xr3:uid="{00000000-0010-0000-0300-00000B000000}" name="10" totalsRowFunction="count" dataDxfId="688" totalsRowDxfId="687"/>
    <tableColumn id="12" xr3:uid="{00000000-0010-0000-0300-00000C000000}" name="11" totalsRowFunction="count" dataDxfId="686" totalsRowDxfId="685"/>
    <tableColumn id="13" xr3:uid="{00000000-0010-0000-0300-00000D000000}" name="12" totalsRowFunction="count" dataDxfId="684" totalsRowDxfId="683"/>
    <tableColumn id="14" xr3:uid="{00000000-0010-0000-0300-00000E000000}" name="13" totalsRowFunction="count" dataDxfId="682" totalsRowDxfId="681"/>
    <tableColumn id="15" xr3:uid="{00000000-0010-0000-0300-00000F000000}" name="14" totalsRowFunction="count" dataDxfId="680" totalsRowDxfId="679"/>
    <tableColumn id="16" xr3:uid="{00000000-0010-0000-0300-000010000000}" name="15" totalsRowFunction="count" dataDxfId="678" totalsRowDxfId="677"/>
    <tableColumn id="17" xr3:uid="{00000000-0010-0000-0300-000011000000}" name="16" totalsRowFunction="count" dataDxfId="676" totalsRowDxfId="675"/>
    <tableColumn id="18" xr3:uid="{00000000-0010-0000-0300-000012000000}" name="17" totalsRowFunction="count" dataDxfId="674" totalsRowDxfId="673"/>
    <tableColumn id="19" xr3:uid="{00000000-0010-0000-0300-000013000000}" name="18" totalsRowFunction="count" dataDxfId="672" totalsRowDxfId="671"/>
    <tableColumn id="20" xr3:uid="{00000000-0010-0000-0300-000014000000}" name="19" totalsRowFunction="count" dataDxfId="670" totalsRowDxfId="669"/>
    <tableColumn id="21" xr3:uid="{00000000-0010-0000-0300-000015000000}" name="20" totalsRowFunction="count" dataDxfId="668" totalsRowDxfId="667"/>
    <tableColumn id="22" xr3:uid="{00000000-0010-0000-0300-000016000000}" name="21" totalsRowFunction="count" dataDxfId="666" totalsRowDxfId="665"/>
    <tableColumn id="23" xr3:uid="{00000000-0010-0000-0300-000017000000}" name="22" totalsRowFunction="count" dataDxfId="664" totalsRowDxfId="663"/>
    <tableColumn id="24" xr3:uid="{00000000-0010-0000-0300-000018000000}" name="23" totalsRowFunction="count" dataDxfId="662" totalsRowDxfId="661"/>
    <tableColumn id="25" xr3:uid="{00000000-0010-0000-0300-000019000000}" name="24" totalsRowFunction="count" dataDxfId="660" totalsRowDxfId="659"/>
    <tableColumn id="26" xr3:uid="{00000000-0010-0000-0300-00001A000000}" name="25" totalsRowFunction="count" dataDxfId="658" totalsRowDxfId="657"/>
    <tableColumn id="27" xr3:uid="{00000000-0010-0000-0300-00001B000000}" name="26" totalsRowFunction="count" dataDxfId="656" totalsRowDxfId="655"/>
    <tableColumn id="28" xr3:uid="{00000000-0010-0000-0300-00001C000000}" name="27" totalsRowFunction="count" dataDxfId="654" totalsRowDxfId="653"/>
    <tableColumn id="29" xr3:uid="{00000000-0010-0000-0300-00001D000000}" name="28" totalsRowFunction="count" dataDxfId="652" totalsRowDxfId="651"/>
    <tableColumn id="30" xr3:uid="{00000000-0010-0000-0300-00001E000000}" name="29" totalsRowFunction="count" dataDxfId="650" totalsRowDxfId="649"/>
    <tableColumn id="31" xr3:uid="{00000000-0010-0000-0300-00001F000000}" name="30" totalsRowFunction="count" dataDxfId="648" totalsRowDxfId="647"/>
    <tableColumn id="32" xr3:uid="{00000000-0010-0000-0300-000020000000}" name=" " totalsRowFunction="custom" dataDxfId="646" totalsRowDxfId="645">
      <totalsRowFormula>SUBTOTAL(103,Avril[30])</totalsRowFormula>
    </tableColumn>
    <tableColumn id="33" xr3:uid="{00000000-0010-0000-0300-000021000000}" name="Total des jours" totalsRowFunction="sum" dataDxfId="644" totalsRowDxfId="643">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6:AH17" totalsRowCount="1" headerRowDxfId="637" dataDxfId="636" totalsRowDxfId="635">
  <tableColumns count="33">
    <tableColumn id="1" xr3:uid="{00000000-0010-0000-0400-000001000000}" name="Nom de l’employé" totalsRowFunction="custom" dataDxfId="634" totalsRowDxfId="633" dataCellStyle="Employé">
      <totalsRowFormula>NomMois&amp;" Total"</totalsRowFormula>
    </tableColumn>
    <tableColumn id="2" xr3:uid="{00000000-0010-0000-0400-000002000000}" name="1" totalsRowFunction="count" dataDxfId="632" totalsRowDxfId="631"/>
    <tableColumn id="3" xr3:uid="{00000000-0010-0000-0400-000003000000}" name="2" totalsRowFunction="count" dataDxfId="630" totalsRowDxfId="629"/>
    <tableColumn id="4" xr3:uid="{00000000-0010-0000-0400-000004000000}" name="3" totalsRowFunction="count" dataDxfId="628" totalsRowDxfId="627"/>
    <tableColumn id="5" xr3:uid="{00000000-0010-0000-0400-000005000000}" name="4" totalsRowFunction="count" dataDxfId="626" totalsRowDxfId="625"/>
    <tableColumn id="6" xr3:uid="{00000000-0010-0000-0400-000006000000}" name="5" totalsRowFunction="count" dataDxfId="624" totalsRowDxfId="623"/>
    <tableColumn id="7" xr3:uid="{00000000-0010-0000-0400-000007000000}" name="6" totalsRowFunction="count" dataDxfId="622" totalsRowDxfId="621"/>
    <tableColumn id="8" xr3:uid="{00000000-0010-0000-0400-000008000000}" name="7" totalsRowFunction="count" dataDxfId="620" totalsRowDxfId="619"/>
    <tableColumn id="9" xr3:uid="{00000000-0010-0000-0400-000009000000}" name="8" totalsRowFunction="count" dataDxfId="618" totalsRowDxfId="617"/>
    <tableColumn id="10" xr3:uid="{00000000-0010-0000-0400-00000A000000}" name="9" totalsRowFunction="count" dataDxfId="616" totalsRowDxfId="615"/>
    <tableColumn id="11" xr3:uid="{00000000-0010-0000-0400-00000B000000}" name="10" totalsRowFunction="count" dataDxfId="614" totalsRowDxfId="613"/>
    <tableColumn id="12" xr3:uid="{00000000-0010-0000-0400-00000C000000}" name="11" totalsRowFunction="count" dataDxfId="612" totalsRowDxfId="611"/>
    <tableColumn id="13" xr3:uid="{00000000-0010-0000-0400-00000D000000}" name="12" totalsRowFunction="count" dataDxfId="610" totalsRowDxfId="609"/>
    <tableColumn id="14" xr3:uid="{00000000-0010-0000-0400-00000E000000}" name="13" totalsRowFunction="count" dataDxfId="608" totalsRowDxfId="607"/>
    <tableColumn id="15" xr3:uid="{00000000-0010-0000-0400-00000F000000}" name="14" totalsRowFunction="count" dataDxfId="606" totalsRowDxfId="605"/>
    <tableColumn id="16" xr3:uid="{00000000-0010-0000-0400-000010000000}" name="15" totalsRowFunction="count" dataDxfId="604" totalsRowDxfId="603"/>
    <tableColumn id="17" xr3:uid="{00000000-0010-0000-0400-000011000000}" name="16" totalsRowFunction="count" dataDxfId="602" totalsRowDxfId="601"/>
    <tableColumn id="18" xr3:uid="{00000000-0010-0000-0400-000012000000}" name="17" totalsRowFunction="count" dataDxfId="600" totalsRowDxfId="599"/>
    <tableColumn id="19" xr3:uid="{00000000-0010-0000-0400-000013000000}" name="18" totalsRowFunction="count" dataDxfId="598" totalsRowDxfId="597"/>
    <tableColumn id="20" xr3:uid="{00000000-0010-0000-0400-000014000000}" name="19" totalsRowFunction="count" dataDxfId="596" totalsRowDxfId="595"/>
    <tableColumn id="21" xr3:uid="{00000000-0010-0000-0400-000015000000}" name="20" totalsRowFunction="count" dataDxfId="594" totalsRowDxfId="593"/>
    <tableColumn id="22" xr3:uid="{00000000-0010-0000-0400-000016000000}" name="21" totalsRowFunction="count" dataDxfId="592" totalsRowDxfId="591"/>
    <tableColumn id="23" xr3:uid="{00000000-0010-0000-0400-000017000000}" name="22" totalsRowFunction="count" dataDxfId="590" totalsRowDxfId="589"/>
    <tableColumn id="24" xr3:uid="{00000000-0010-0000-0400-000018000000}" name="23" totalsRowFunction="count" dataDxfId="588" totalsRowDxfId="587"/>
    <tableColumn id="25" xr3:uid="{00000000-0010-0000-0400-000019000000}" name="24" totalsRowFunction="count" dataDxfId="586" totalsRowDxfId="585"/>
    <tableColumn id="26" xr3:uid="{00000000-0010-0000-0400-00001A000000}" name="25" totalsRowFunction="count" dataDxfId="584" totalsRowDxfId="583"/>
    <tableColumn id="27" xr3:uid="{00000000-0010-0000-0400-00001B000000}" name="26" totalsRowFunction="count" dataDxfId="582" totalsRowDxfId="581"/>
    <tableColumn id="28" xr3:uid="{00000000-0010-0000-0400-00001C000000}" name="27" totalsRowFunction="count" dataDxfId="580" totalsRowDxfId="579"/>
    <tableColumn id="29" xr3:uid="{00000000-0010-0000-0400-00001D000000}" name="28" totalsRowFunction="count" dataDxfId="578" totalsRowDxfId="577"/>
    <tableColumn id="30" xr3:uid="{00000000-0010-0000-0400-00001E000000}" name="29" totalsRowFunction="count" dataDxfId="576" totalsRowDxfId="575"/>
    <tableColumn id="31" xr3:uid="{00000000-0010-0000-0400-00001F000000}" name="30" totalsRowFunction="count" dataDxfId="574" totalsRowDxfId="573"/>
    <tableColumn id="32" xr3:uid="{00000000-0010-0000-0400-000020000000}" name="31" totalsRowFunction="count" dataDxfId="572" totalsRowDxfId="571"/>
    <tableColumn id="33" xr3:uid="{00000000-0010-0000-0400-000021000000}" name="Total des jours" totalsRowFunction="sum" dataDxfId="570" totalsRowDxfId="569">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7" totalsRowCount="1" headerRowDxfId="563" dataDxfId="562" totalsRowDxfId="561">
  <tableColumns count="33">
    <tableColumn id="1" xr3:uid="{00000000-0010-0000-0500-000001000000}" name="Nom de l’employé" totalsRowFunction="custom" dataDxfId="560" totalsRowDxfId="559" dataCellStyle="Employé">
      <totalsRowFormula>NomMois&amp;" Total"</totalsRowFormula>
    </tableColumn>
    <tableColumn id="2" xr3:uid="{00000000-0010-0000-0500-000002000000}" name="1" totalsRowFunction="count" dataDxfId="558" totalsRowDxfId="557"/>
    <tableColumn id="3" xr3:uid="{00000000-0010-0000-0500-000003000000}" name="2" totalsRowFunction="count" dataDxfId="556" totalsRowDxfId="555"/>
    <tableColumn id="4" xr3:uid="{00000000-0010-0000-0500-000004000000}" name="3" totalsRowFunction="count" dataDxfId="554" totalsRowDxfId="553"/>
    <tableColumn id="5" xr3:uid="{00000000-0010-0000-0500-000005000000}" name="4" totalsRowFunction="count" dataDxfId="552" totalsRowDxfId="551"/>
    <tableColumn id="6" xr3:uid="{00000000-0010-0000-0500-000006000000}" name="5" totalsRowFunction="count" dataDxfId="550" totalsRowDxfId="549"/>
    <tableColumn id="7" xr3:uid="{00000000-0010-0000-0500-000007000000}" name="6" totalsRowFunction="count" dataDxfId="548" totalsRowDxfId="547"/>
    <tableColumn id="8" xr3:uid="{00000000-0010-0000-0500-000008000000}" name="7" totalsRowFunction="count" dataDxfId="546" totalsRowDxfId="545"/>
    <tableColumn id="9" xr3:uid="{00000000-0010-0000-0500-000009000000}" name="8" totalsRowFunction="count" dataDxfId="544" totalsRowDxfId="543"/>
    <tableColumn id="10" xr3:uid="{00000000-0010-0000-0500-00000A000000}" name="9" totalsRowFunction="count" dataDxfId="542" totalsRowDxfId="541"/>
    <tableColumn id="11" xr3:uid="{00000000-0010-0000-0500-00000B000000}" name="10" totalsRowFunction="count" dataDxfId="540" totalsRowDxfId="539"/>
    <tableColumn id="12" xr3:uid="{00000000-0010-0000-0500-00000C000000}" name="11" totalsRowFunction="count" dataDxfId="538" totalsRowDxfId="537"/>
    <tableColumn id="13" xr3:uid="{00000000-0010-0000-0500-00000D000000}" name="12" totalsRowFunction="count" dataDxfId="536" totalsRowDxfId="535"/>
    <tableColumn id="14" xr3:uid="{00000000-0010-0000-0500-00000E000000}" name="13" totalsRowFunction="count" dataDxfId="534" totalsRowDxfId="533"/>
    <tableColumn id="15" xr3:uid="{00000000-0010-0000-0500-00000F000000}" name="14" totalsRowFunction="count" dataDxfId="532" totalsRowDxfId="531"/>
    <tableColumn id="16" xr3:uid="{00000000-0010-0000-0500-000010000000}" name="15" totalsRowFunction="count" dataDxfId="530" totalsRowDxfId="529"/>
    <tableColumn id="17" xr3:uid="{00000000-0010-0000-0500-000011000000}" name="16" totalsRowFunction="count" dataDxfId="528" totalsRowDxfId="527"/>
    <tableColumn id="18" xr3:uid="{00000000-0010-0000-0500-000012000000}" name="17" totalsRowFunction="count" dataDxfId="526" totalsRowDxfId="525"/>
    <tableColumn id="19" xr3:uid="{00000000-0010-0000-0500-000013000000}" name="18" totalsRowFunction="count" dataDxfId="524" totalsRowDxfId="523"/>
    <tableColumn id="20" xr3:uid="{00000000-0010-0000-0500-000014000000}" name="19" totalsRowFunction="count" dataDxfId="522" totalsRowDxfId="521"/>
    <tableColumn id="21" xr3:uid="{00000000-0010-0000-0500-000015000000}" name="20" totalsRowFunction="count" dataDxfId="520" totalsRowDxfId="519"/>
    <tableColumn id="22" xr3:uid="{00000000-0010-0000-0500-000016000000}" name="21" totalsRowFunction="count" dataDxfId="518" totalsRowDxfId="517"/>
    <tableColumn id="23" xr3:uid="{00000000-0010-0000-0500-000017000000}" name="22" totalsRowFunction="count" dataDxfId="516" totalsRowDxfId="515"/>
    <tableColumn id="24" xr3:uid="{00000000-0010-0000-0500-000018000000}" name="23" totalsRowFunction="count" dataDxfId="514" totalsRowDxfId="513"/>
    <tableColumn id="25" xr3:uid="{00000000-0010-0000-0500-000019000000}" name="24" totalsRowFunction="count" dataDxfId="512" totalsRowDxfId="511"/>
    <tableColumn id="26" xr3:uid="{00000000-0010-0000-0500-00001A000000}" name="25" totalsRowFunction="count" dataDxfId="510" totalsRowDxfId="509"/>
    <tableColumn id="27" xr3:uid="{00000000-0010-0000-0500-00001B000000}" name="26" totalsRowFunction="count" dataDxfId="508" totalsRowDxfId="507"/>
    <tableColumn id="28" xr3:uid="{00000000-0010-0000-0500-00001C000000}" name="27" totalsRowFunction="count" dataDxfId="506" totalsRowDxfId="505"/>
    <tableColumn id="29" xr3:uid="{00000000-0010-0000-0500-00001D000000}" name="28" totalsRowFunction="count" dataDxfId="504" totalsRowDxfId="503"/>
    <tableColumn id="30" xr3:uid="{00000000-0010-0000-0500-00001E000000}" name="29" totalsRowFunction="count" dataDxfId="502" totalsRowDxfId="501"/>
    <tableColumn id="31" xr3:uid="{00000000-0010-0000-0500-00001F000000}" name="30" totalsRowFunction="count" dataDxfId="500" totalsRowDxfId="499"/>
    <tableColumn id="32" xr3:uid="{00000000-0010-0000-0500-000020000000}" name=" " totalsRowFunction="count" dataDxfId="498" totalsRowDxfId="497"/>
    <tableColumn id="33" xr3:uid="{00000000-0010-0000-0500-000021000000}" name="Total des jours" totalsRowFunction="sum" dataDxfId="496" totalsRowDxfId="495">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7" totalsRowCount="1" headerRowDxfId="489" dataDxfId="488" totalsRowDxfId="487">
  <tableColumns count="33">
    <tableColumn id="1" xr3:uid="{00000000-0010-0000-0600-000001000000}" name="Nom de l’employé" totalsRowFunction="custom" dataDxfId="486" totalsRowDxfId="485" dataCellStyle="Employé">
      <totalsRowFormula>NomMois&amp;" Total"</totalsRowFormula>
    </tableColumn>
    <tableColumn id="2" xr3:uid="{00000000-0010-0000-0600-000002000000}" name="1" totalsRowFunction="count" dataDxfId="484" totalsRowDxfId="483"/>
    <tableColumn id="3" xr3:uid="{00000000-0010-0000-0600-000003000000}" name="2" totalsRowFunction="count" dataDxfId="482" totalsRowDxfId="481"/>
    <tableColumn id="4" xr3:uid="{00000000-0010-0000-0600-000004000000}" name="3" totalsRowFunction="count" dataDxfId="480" totalsRowDxfId="479"/>
    <tableColumn id="5" xr3:uid="{00000000-0010-0000-0600-000005000000}" name="4" totalsRowFunction="count" dataDxfId="478" totalsRowDxfId="477"/>
    <tableColumn id="6" xr3:uid="{00000000-0010-0000-0600-000006000000}" name="5" totalsRowFunction="count" dataDxfId="476" totalsRowDxfId="475"/>
    <tableColumn id="7" xr3:uid="{00000000-0010-0000-0600-000007000000}" name="6" totalsRowFunction="count" dataDxfId="474" totalsRowDxfId="473"/>
    <tableColumn id="8" xr3:uid="{00000000-0010-0000-0600-000008000000}" name="7" totalsRowFunction="count" dataDxfId="472" totalsRowDxfId="471"/>
    <tableColumn id="9" xr3:uid="{00000000-0010-0000-0600-000009000000}" name="8" totalsRowFunction="count" dataDxfId="470" totalsRowDxfId="469"/>
    <tableColumn id="10" xr3:uid="{00000000-0010-0000-0600-00000A000000}" name="9" totalsRowFunction="count" dataDxfId="468" totalsRowDxfId="467"/>
    <tableColumn id="11" xr3:uid="{00000000-0010-0000-0600-00000B000000}" name="10" totalsRowFunction="count" dataDxfId="466" totalsRowDxfId="465"/>
    <tableColumn id="12" xr3:uid="{00000000-0010-0000-0600-00000C000000}" name="11" totalsRowFunction="count" dataDxfId="464" totalsRowDxfId="463"/>
    <tableColumn id="13" xr3:uid="{00000000-0010-0000-0600-00000D000000}" name="12" totalsRowFunction="count" dataDxfId="462" totalsRowDxfId="461"/>
    <tableColumn id="14" xr3:uid="{00000000-0010-0000-0600-00000E000000}" name="13" totalsRowFunction="count" dataDxfId="460" totalsRowDxfId="459"/>
    <tableColumn id="15" xr3:uid="{00000000-0010-0000-0600-00000F000000}" name="14" totalsRowFunction="count" dataDxfId="458" totalsRowDxfId="457"/>
    <tableColumn id="16" xr3:uid="{00000000-0010-0000-0600-000010000000}" name="15" totalsRowFunction="count" dataDxfId="456" totalsRowDxfId="455"/>
    <tableColumn id="17" xr3:uid="{00000000-0010-0000-0600-000011000000}" name="16" totalsRowFunction="count" dataDxfId="454" totalsRowDxfId="453"/>
    <tableColumn id="18" xr3:uid="{00000000-0010-0000-0600-000012000000}" name="17" totalsRowFunction="count" dataDxfId="452" totalsRowDxfId="451"/>
    <tableColumn id="19" xr3:uid="{00000000-0010-0000-0600-000013000000}" name="18" totalsRowFunction="count" dataDxfId="450" totalsRowDxfId="449"/>
    <tableColumn id="20" xr3:uid="{00000000-0010-0000-0600-000014000000}" name="19" totalsRowFunction="count" dataDxfId="448" totalsRowDxfId="447"/>
    <tableColumn id="21" xr3:uid="{00000000-0010-0000-0600-000015000000}" name="20" totalsRowFunction="count" dataDxfId="446" totalsRowDxfId="445"/>
    <tableColumn id="22" xr3:uid="{00000000-0010-0000-0600-000016000000}" name="21" totalsRowFunction="count" dataDxfId="444" totalsRowDxfId="443"/>
    <tableColumn id="23" xr3:uid="{00000000-0010-0000-0600-000017000000}" name="22" totalsRowFunction="count" dataDxfId="442" totalsRowDxfId="441"/>
    <tableColumn id="24" xr3:uid="{00000000-0010-0000-0600-000018000000}" name="23" totalsRowFunction="count" dataDxfId="440" totalsRowDxfId="439"/>
    <tableColumn id="25" xr3:uid="{00000000-0010-0000-0600-000019000000}" name="24" totalsRowFunction="count" dataDxfId="438" totalsRowDxfId="437"/>
    <tableColumn id="26" xr3:uid="{00000000-0010-0000-0600-00001A000000}" name="25" totalsRowFunction="count" dataDxfId="436" totalsRowDxfId="435"/>
    <tableColumn id="27" xr3:uid="{00000000-0010-0000-0600-00001B000000}" name="26" totalsRowFunction="count" dataDxfId="434" totalsRowDxfId="433"/>
    <tableColumn id="28" xr3:uid="{00000000-0010-0000-0600-00001C000000}" name="27" totalsRowFunction="count" dataDxfId="432" totalsRowDxfId="431"/>
    <tableColumn id="29" xr3:uid="{00000000-0010-0000-0600-00001D000000}" name="28" totalsRowFunction="count" dataDxfId="430" totalsRowDxfId="429"/>
    <tableColumn id="30" xr3:uid="{00000000-0010-0000-0600-00001E000000}" name="29" totalsRowFunction="count" dataDxfId="428" totalsRowDxfId="427"/>
    <tableColumn id="31" xr3:uid="{00000000-0010-0000-0600-00001F000000}" name="30" totalsRowFunction="count" dataDxfId="426" totalsRowDxfId="425"/>
    <tableColumn id="32" xr3:uid="{00000000-0010-0000-0600-000020000000}" name="31" totalsRowFunction="count" dataDxfId="424" totalsRowDxfId="423"/>
    <tableColumn id="33" xr3:uid="{00000000-0010-0000-0600-000021000000}" name="Total des jours" totalsRowFunction="sum" dataDxfId="422" totalsRowDxfId="421">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7" totalsRowCount="1" headerRowDxfId="415" dataDxfId="414" totalsRowDxfId="413">
  <tableColumns count="33">
    <tableColumn id="1" xr3:uid="{00000000-0010-0000-0700-000001000000}" name="Nom de l’employé" totalsRowFunction="custom" dataDxfId="412" totalsRowDxfId="411" dataCellStyle="Employé">
      <totalsRowFormula>NomMois&amp;" Total"</totalsRowFormula>
    </tableColumn>
    <tableColumn id="2" xr3:uid="{00000000-0010-0000-0700-000002000000}" name="1" totalsRowFunction="count" dataDxfId="410" totalsRowDxfId="409"/>
    <tableColumn id="3" xr3:uid="{00000000-0010-0000-0700-000003000000}" name="2" totalsRowFunction="count" dataDxfId="408" totalsRowDxfId="407"/>
    <tableColumn id="4" xr3:uid="{00000000-0010-0000-0700-000004000000}" name="3" totalsRowFunction="count" dataDxfId="406" totalsRowDxfId="405"/>
    <tableColumn id="5" xr3:uid="{00000000-0010-0000-0700-000005000000}" name="4" totalsRowFunction="count" dataDxfId="404" totalsRowDxfId="403"/>
    <tableColumn id="6" xr3:uid="{00000000-0010-0000-0700-000006000000}" name="5" totalsRowFunction="count" dataDxfId="402" totalsRowDxfId="401"/>
    <tableColumn id="7" xr3:uid="{00000000-0010-0000-0700-000007000000}" name="6" totalsRowFunction="count" dataDxfId="400" totalsRowDxfId="399"/>
    <tableColumn id="8" xr3:uid="{00000000-0010-0000-0700-000008000000}" name="7" totalsRowFunction="count" dataDxfId="398" totalsRowDxfId="397"/>
    <tableColumn id="9" xr3:uid="{00000000-0010-0000-0700-000009000000}" name="8" totalsRowFunction="count" dataDxfId="396" totalsRowDxfId="395"/>
    <tableColumn id="10" xr3:uid="{00000000-0010-0000-0700-00000A000000}" name="9" totalsRowFunction="count" dataDxfId="394" totalsRowDxfId="393"/>
    <tableColumn id="11" xr3:uid="{00000000-0010-0000-0700-00000B000000}" name="10" totalsRowFunction="count" dataDxfId="392" totalsRowDxfId="391"/>
    <tableColumn id="12" xr3:uid="{00000000-0010-0000-0700-00000C000000}" name="11" totalsRowFunction="count" dataDxfId="390" totalsRowDxfId="389"/>
    <tableColumn id="13" xr3:uid="{00000000-0010-0000-0700-00000D000000}" name="12" totalsRowFunction="count" dataDxfId="388" totalsRowDxfId="387"/>
    <tableColumn id="14" xr3:uid="{00000000-0010-0000-0700-00000E000000}" name="13" totalsRowFunction="count" dataDxfId="386" totalsRowDxfId="385"/>
    <tableColumn id="15" xr3:uid="{00000000-0010-0000-0700-00000F000000}" name="14" totalsRowFunction="count" dataDxfId="384" totalsRowDxfId="383"/>
    <tableColumn id="16" xr3:uid="{00000000-0010-0000-0700-000010000000}" name="15" totalsRowFunction="count" dataDxfId="382" totalsRowDxfId="381"/>
    <tableColumn id="17" xr3:uid="{00000000-0010-0000-0700-000011000000}" name="16" totalsRowFunction="count" dataDxfId="380" totalsRowDxfId="379"/>
    <tableColumn id="18" xr3:uid="{00000000-0010-0000-0700-000012000000}" name="17" totalsRowFunction="count" dataDxfId="378" totalsRowDxfId="377"/>
    <tableColumn id="19" xr3:uid="{00000000-0010-0000-0700-000013000000}" name="18" totalsRowFunction="count" dataDxfId="376" totalsRowDxfId="375"/>
    <tableColumn id="20" xr3:uid="{00000000-0010-0000-0700-000014000000}" name="19" totalsRowFunction="count" dataDxfId="374" totalsRowDxfId="373"/>
    <tableColumn id="21" xr3:uid="{00000000-0010-0000-0700-000015000000}" name="20" totalsRowFunction="count" dataDxfId="372" totalsRowDxfId="371"/>
    <tableColumn id="22" xr3:uid="{00000000-0010-0000-0700-000016000000}" name="21" totalsRowFunction="count" dataDxfId="370" totalsRowDxfId="369"/>
    <tableColumn id="23" xr3:uid="{00000000-0010-0000-0700-000017000000}" name="22" totalsRowFunction="count" dataDxfId="368" totalsRowDxfId="367"/>
    <tableColumn id="24" xr3:uid="{00000000-0010-0000-0700-000018000000}" name="23" totalsRowFunction="count" dataDxfId="366" totalsRowDxfId="365"/>
    <tableColumn id="25" xr3:uid="{00000000-0010-0000-0700-000019000000}" name="24" totalsRowFunction="count" dataDxfId="364" totalsRowDxfId="363"/>
    <tableColumn id="26" xr3:uid="{00000000-0010-0000-0700-00001A000000}" name="25" totalsRowFunction="count" dataDxfId="362" totalsRowDxfId="361"/>
    <tableColumn id="27" xr3:uid="{00000000-0010-0000-0700-00001B000000}" name="26" totalsRowFunction="count" dataDxfId="360" totalsRowDxfId="359"/>
    <tableColumn id="28" xr3:uid="{00000000-0010-0000-0700-00001C000000}" name="27" totalsRowFunction="count" dataDxfId="358" totalsRowDxfId="357"/>
    <tableColumn id="29" xr3:uid="{00000000-0010-0000-0700-00001D000000}" name="28" totalsRowFunction="count" dataDxfId="356" totalsRowDxfId="355"/>
    <tableColumn id="30" xr3:uid="{00000000-0010-0000-0700-00001E000000}" name="29" totalsRowFunction="count" dataDxfId="354" totalsRowDxfId="353"/>
    <tableColumn id="31" xr3:uid="{00000000-0010-0000-0700-00001F000000}" name="30" totalsRowFunction="count" dataDxfId="352" totalsRowDxfId="351"/>
    <tableColumn id="32" xr3:uid="{00000000-0010-0000-0700-000020000000}" name="31" totalsRowFunction="count" dataDxfId="350" totalsRowDxfId="349"/>
    <tableColumn id="33" xr3:uid="{00000000-0010-0000-0700-000021000000}" name="Total des jours" totalsRowFunction="sum" dataDxfId="348" totalsRowDxfId="347">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7" totalsRowCount="1" headerRowDxfId="341" dataDxfId="340" totalsRowDxfId="339">
  <tableColumns count="33">
    <tableColumn id="1" xr3:uid="{00000000-0010-0000-0800-000001000000}" name="Nom de l’employé" totalsRowFunction="custom" dataDxfId="338" totalsRowDxfId="337" dataCellStyle="Employé">
      <totalsRowFormula>NomMois&amp;" Total"</totalsRowFormula>
    </tableColumn>
    <tableColumn id="2" xr3:uid="{00000000-0010-0000-0800-000002000000}" name="1" totalsRowFunction="count" dataDxfId="336" totalsRowDxfId="335"/>
    <tableColumn id="3" xr3:uid="{00000000-0010-0000-0800-000003000000}" name="2" totalsRowFunction="count" dataDxfId="334" totalsRowDxfId="333"/>
    <tableColumn id="4" xr3:uid="{00000000-0010-0000-0800-000004000000}" name="3" totalsRowFunction="count" dataDxfId="332" totalsRowDxfId="331"/>
    <tableColumn id="5" xr3:uid="{00000000-0010-0000-0800-000005000000}" name="4" totalsRowFunction="count" dataDxfId="330" totalsRowDxfId="329"/>
    <tableColumn id="6" xr3:uid="{00000000-0010-0000-0800-000006000000}" name="5" totalsRowFunction="count" dataDxfId="328" totalsRowDxfId="327"/>
    <tableColumn id="7" xr3:uid="{00000000-0010-0000-0800-000007000000}" name="6" totalsRowFunction="count" dataDxfId="326" totalsRowDxfId="325"/>
    <tableColumn id="8" xr3:uid="{00000000-0010-0000-0800-000008000000}" name="7" totalsRowFunction="count" dataDxfId="324" totalsRowDxfId="323"/>
    <tableColumn id="9" xr3:uid="{00000000-0010-0000-0800-000009000000}" name="8" totalsRowFunction="count" dataDxfId="322" totalsRowDxfId="321"/>
    <tableColumn id="10" xr3:uid="{00000000-0010-0000-0800-00000A000000}" name="9" totalsRowFunction="count" dataDxfId="320" totalsRowDxfId="319"/>
    <tableColumn id="11" xr3:uid="{00000000-0010-0000-0800-00000B000000}" name="10" totalsRowFunction="count" dataDxfId="318" totalsRowDxfId="317"/>
    <tableColumn id="12" xr3:uid="{00000000-0010-0000-0800-00000C000000}" name="11" totalsRowFunction="count" dataDxfId="316" totalsRowDxfId="315"/>
    <tableColumn id="13" xr3:uid="{00000000-0010-0000-0800-00000D000000}" name="12" totalsRowFunction="count" dataDxfId="314" totalsRowDxfId="313"/>
    <tableColumn id="14" xr3:uid="{00000000-0010-0000-0800-00000E000000}" name="13" totalsRowFunction="count" dataDxfId="312" totalsRowDxfId="311"/>
    <tableColumn id="15" xr3:uid="{00000000-0010-0000-0800-00000F000000}" name="14" totalsRowFunction="count" dataDxfId="310" totalsRowDxfId="309"/>
    <tableColumn id="16" xr3:uid="{00000000-0010-0000-0800-000010000000}" name="15" totalsRowFunction="count" dataDxfId="308" totalsRowDxfId="307"/>
    <tableColumn id="17" xr3:uid="{00000000-0010-0000-0800-000011000000}" name="16" totalsRowFunction="count" dataDxfId="306" totalsRowDxfId="305"/>
    <tableColumn id="18" xr3:uid="{00000000-0010-0000-0800-000012000000}" name="17" totalsRowFunction="count" dataDxfId="304" totalsRowDxfId="303"/>
    <tableColumn id="19" xr3:uid="{00000000-0010-0000-0800-000013000000}" name="18" totalsRowFunction="count" dataDxfId="302" totalsRowDxfId="301"/>
    <tableColumn id="20" xr3:uid="{00000000-0010-0000-0800-000014000000}" name="19" totalsRowFunction="count" dataDxfId="300" totalsRowDxfId="299"/>
    <tableColumn id="21" xr3:uid="{00000000-0010-0000-0800-000015000000}" name="20" totalsRowFunction="count" dataDxfId="298" totalsRowDxfId="297"/>
    <tableColumn id="22" xr3:uid="{00000000-0010-0000-0800-000016000000}" name="21" totalsRowFunction="count" dataDxfId="296" totalsRowDxfId="295"/>
    <tableColumn id="23" xr3:uid="{00000000-0010-0000-0800-000017000000}" name="22" totalsRowFunction="count" dataDxfId="294" totalsRowDxfId="293"/>
    <tableColumn id="24" xr3:uid="{00000000-0010-0000-0800-000018000000}" name="23" totalsRowFunction="count" dataDxfId="292" totalsRowDxfId="291"/>
    <tableColumn id="25" xr3:uid="{00000000-0010-0000-0800-000019000000}" name="24" totalsRowFunction="count" dataDxfId="290" totalsRowDxfId="289"/>
    <tableColumn id="26" xr3:uid="{00000000-0010-0000-0800-00001A000000}" name="25" totalsRowFunction="count" dataDxfId="288" totalsRowDxfId="287"/>
    <tableColumn id="27" xr3:uid="{00000000-0010-0000-0800-00001B000000}" name="26" totalsRowFunction="count" dataDxfId="286" totalsRowDxfId="285"/>
    <tableColumn id="28" xr3:uid="{00000000-0010-0000-0800-00001C000000}" name="27" totalsRowFunction="count" dataDxfId="284" totalsRowDxfId="283"/>
    <tableColumn id="29" xr3:uid="{00000000-0010-0000-0800-00001D000000}" name="28" totalsRowFunction="count" dataDxfId="282" totalsRowDxfId="281"/>
    <tableColumn id="30" xr3:uid="{00000000-0010-0000-0800-00001E000000}" name="29" totalsRowFunction="count" dataDxfId="280" totalsRowDxfId="279"/>
    <tableColumn id="31" xr3:uid="{00000000-0010-0000-0800-00001F000000}" name="30" totalsRowFunction="count" dataDxfId="278" totalsRowDxfId="277"/>
    <tableColumn id="32" xr3:uid="{00000000-0010-0000-0800-000020000000}" name=" " totalsRowFunction="count" dataDxfId="276" totalsRowDxfId="275"/>
    <tableColumn id="33" xr3:uid="{00000000-0010-0000-0800-000021000000}" name="Total des jours" totalsRowFunction="sum" dataDxfId="274" totalsRowDxfId="273">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7" totalsRowCount="1" headerRowDxfId="267" dataDxfId="266" totalsRowDxfId="265">
  <tableColumns count="33">
    <tableColumn id="1" xr3:uid="{00000000-0010-0000-0900-000001000000}" name="Nom de l’employé" totalsRowFunction="custom" dataDxfId="264" totalsRowDxfId="263" dataCellStyle="Employé">
      <totalsRowFormula>NomMois&amp;" Total"</totalsRowFormula>
    </tableColumn>
    <tableColumn id="2" xr3:uid="{00000000-0010-0000-0900-000002000000}" name="1" totalsRowFunction="count" dataDxfId="262" totalsRowDxfId="261"/>
    <tableColumn id="3" xr3:uid="{00000000-0010-0000-0900-000003000000}" name="2" totalsRowFunction="count" dataDxfId="260" totalsRowDxfId="259"/>
    <tableColumn id="4" xr3:uid="{00000000-0010-0000-0900-000004000000}" name="3" totalsRowFunction="count" dataDxfId="258" totalsRowDxfId="257"/>
    <tableColumn id="5" xr3:uid="{00000000-0010-0000-0900-000005000000}" name="4" totalsRowFunction="count" dataDxfId="256" totalsRowDxfId="255"/>
    <tableColumn id="6" xr3:uid="{00000000-0010-0000-0900-000006000000}" name="5" totalsRowFunction="count" dataDxfId="254" totalsRowDxfId="253"/>
    <tableColumn id="7" xr3:uid="{00000000-0010-0000-0900-000007000000}" name="6" totalsRowFunction="count" dataDxfId="252" totalsRowDxfId="251"/>
    <tableColumn id="8" xr3:uid="{00000000-0010-0000-0900-000008000000}" name="7" totalsRowFunction="count" dataDxfId="250" totalsRowDxfId="249"/>
    <tableColumn id="9" xr3:uid="{00000000-0010-0000-0900-000009000000}" name="8" totalsRowFunction="count" dataDxfId="248" totalsRowDxfId="247"/>
    <tableColumn id="10" xr3:uid="{00000000-0010-0000-0900-00000A000000}" name="9" totalsRowFunction="count" dataDxfId="246" totalsRowDxfId="245"/>
    <tableColumn id="11" xr3:uid="{00000000-0010-0000-0900-00000B000000}" name="10" totalsRowFunction="count" dataDxfId="244" totalsRowDxfId="243"/>
    <tableColumn id="12" xr3:uid="{00000000-0010-0000-0900-00000C000000}" name="11" totalsRowFunction="count" dataDxfId="242" totalsRowDxfId="241"/>
    <tableColumn id="13" xr3:uid="{00000000-0010-0000-0900-00000D000000}" name="12" totalsRowFunction="count" dataDxfId="240" totalsRowDxfId="239"/>
    <tableColumn id="14" xr3:uid="{00000000-0010-0000-0900-00000E000000}" name="13" totalsRowFunction="count" dataDxfId="238" totalsRowDxfId="237"/>
    <tableColumn id="15" xr3:uid="{00000000-0010-0000-0900-00000F000000}" name="14" totalsRowFunction="count" dataDxfId="236" totalsRowDxfId="235"/>
    <tableColumn id="16" xr3:uid="{00000000-0010-0000-0900-000010000000}" name="15" totalsRowFunction="count" dataDxfId="234" totalsRowDxfId="233"/>
    <tableColumn id="17" xr3:uid="{00000000-0010-0000-0900-000011000000}" name="16" totalsRowFunction="count" dataDxfId="232" totalsRowDxfId="231"/>
    <tableColumn id="18" xr3:uid="{00000000-0010-0000-0900-000012000000}" name="17" totalsRowFunction="count" dataDxfId="230" totalsRowDxfId="229"/>
    <tableColumn id="19" xr3:uid="{00000000-0010-0000-0900-000013000000}" name="18" totalsRowFunction="count" dataDxfId="228" totalsRowDxfId="227"/>
    <tableColumn id="20" xr3:uid="{00000000-0010-0000-0900-000014000000}" name="19" totalsRowFunction="count" dataDxfId="226" totalsRowDxfId="225"/>
    <tableColumn id="21" xr3:uid="{00000000-0010-0000-0900-000015000000}" name="20" totalsRowFunction="count" dataDxfId="224" totalsRowDxfId="223"/>
    <tableColumn id="22" xr3:uid="{00000000-0010-0000-0900-000016000000}" name="21" totalsRowFunction="count" dataDxfId="222" totalsRowDxfId="221"/>
    <tableColumn id="23" xr3:uid="{00000000-0010-0000-0900-000017000000}" name="22" totalsRowFunction="count" dataDxfId="220" totalsRowDxfId="219"/>
    <tableColumn id="24" xr3:uid="{00000000-0010-0000-0900-000018000000}" name="23" totalsRowFunction="count" dataDxfId="218" totalsRowDxfId="217"/>
    <tableColumn id="25" xr3:uid="{00000000-0010-0000-0900-000019000000}" name="24" totalsRowFunction="count" dataDxfId="216" totalsRowDxfId="215"/>
    <tableColumn id="26" xr3:uid="{00000000-0010-0000-0900-00001A000000}" name="25" totalsRowFunction="count" dataDxfId="214" totalsRowDxfId="213"/>
    <tableColumn id="27" xr3:uid="{00000000-0010-0000-0900-00001B000000}" name="26" totalsRowFunction="count" dataDxfId="212" totalsRowDxfId="211"/>
    <tableColumn id="28" xr3:uid="{00000000-0010-0000-0900-00001C000000}" name="27" totalsRowFunction="count" dataDxfId="210" totalsRowDxfId="209"/>
    <tableColumn id="29" xr3:uid="{00000000-0010-0000-0900-00001D000000}" name="28" totalsRowFunction="count" dataDxfId="208" totalsRowDxfId="207"/>
    <tableColumn id="30" xr3:uid="{00000000-0010-0000-0900-00001E000000}" name="29" totalsRowFunction="count" dataDxfId="206" totalsRowDxfId="205"/>
    <tableColumn id="31" xr3:uid="{00000000-0010-0000-0900-00001F000000}" name="30" totalsRowFunction="count" dataDxfId="204" totalsRowDxfId="203"/>
    <tableColumn id="32" xr3:uid="{00000000-0010-0000-0900-000020000000}" name="31" totalsRowFunction="count" dataDxfId="202" totalsRowDxfId="201"/>
    <tableColumn id="33" xr3:uid="{00000000-0010-0000-0900-000021000000}" name="Total des jours" totalsRowFunction="sum" dataDxfId="200" totalsRowDxfId="199">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7" totalsRowCount="1" headerRowDxfId="193" dataDxfId="192" totalsRowDxfId="191">
  <tableColumns count="33">
    <tableColumn id="1" xr3:uid="{00000000-0010-0000-0A00-000001000000}" name="Nom de l’employé" totalsRowFunction="custom" dataDxfId="190" totalsRowDxfId="189" dataCellStyle="Employé">
      <totalsRowFormula>NomMois&amp;" Total"</totalsRowFormula>
    </tableColumn>
    <tableColumn id="2" xr3:uid="{00000000-0010-0000-0A00-000002000000}" name="1" totalsRowFunction="count" dataDxfId="188" totalsRowDxfId="187"/>
    <tableColumn id="3" xr3:uid="{00000000-0010-0000-0A00-000003000000}" name="2" totalsRowFunction="count" dataDxfId="186" totalsRowDxfId="185"/>
    <tableColumn id="4" xr3:uid="{00000000-0010-0000-0A00-000004000000}" name="3" totalsRowFunction="count" dataDxfId="184" totalsRowDxfId="183"/>
    <tableColumn id="5" xr3:uid="{00000000-0010-0000-0A00-000005000000}" name="4" totalsRowFunction="count" dataDxfId="182" totalsRowDxfId="181"/>
    <tableColumn id="6" xr3:uid="{00000000-0010-0000-0A00-000006000000}" name="5" totalsRowFunction="count" dataDxfId="180" totalsRowDxfId="179"/>
    <tableColumn id="7" xr3:uid="{00000000-0010-0000-0A00-000007000000}" name="6" totalsRowFunction="count" dataDxfId="178" totalsRowDxfId="177"/>
    <tableColumn id="8" xr3:uid="{00000000-0010-0000-0A00-000008000000}" name="7" totalsRowFunction="count" dataDxfId="176" totalsRowDxfId="175"/>
    <tableColumn id="9" xr3:uid="{00000000-0010-0000-0A00-000009000000}" name="8" totalsRowFunction="count" dataDxfId="174" totalsRowDxfId="173"/>
    <tableColumn id="10" xr3:uid="{00000000-0010-0000-0A00-00000A000000}" name="9" totalsRowFunction="count" dataDxfId="172" totalsRowDxfId="171"/>
    <tableColumn id="11" xr3:uid="{00000000-0010-0000-0A00-00000B000000}" name="10" totalsRowFunction="count" dataDxfId="170" totalsRowDxfId="169"/>
    <tableColumn id="12" xr3:uid="{00000000-0010-0000-0A00-00000C000000}" name="11" totalsRowFunction="count" dataDxfId="168" totalsRowDxfId="167"/>
    <tableColumn id="13" xr3:uid="{00000000-0010-0000-0A00-00000D000000}" name="12" totalsRowFunction="count" dataDxfId="166" totalsRowDxfId="165"/>
    <tableColumn id="14" xr3:uid="{00000000-0010-0000-0A00-00000E000000}" name="13" totalsRowFunction="count" dataDxfId="164" totalsRowDxfId="163"/>
    <tableColumn id="15" xr3:uid="{00000000-0010-0000-0A00-00000F000000}" name="14" totalsRowFunction="count" dataDxfId="162" totalsRowDxfId="161"/>
    <tableColumn id="16" xr3:uid="{00000000-0010-0000-0A00-000010000000}" name="15" totalsRowFunction="count" dataDxfId="160" totalsRowDxfId="159"/>
    <tableColumn id="17" xr3:uid="{00000000-0010-0000-0A00-000011000000}" name="16" totalsRowFunction="count" dataDxfId="158" totalsRowDxfId="157"/>
    <tableColumn id="18" xr3:uid="{00000000-0010-0000-0A00-000012000000}" name="17" totalsRowFunction="count" dataDxfId="156" totalsRowDxfId="155"/>
    <tableColumn id="19" xr3:uid="{00000000-0010-0000-0A00-000013000000}" name="18" totalsRowFunction="count" dataDxfId="154" totalsRowDxfId="153"/>
    <tableColumn id="20" xr3:uid="{00000000-0010-0000-0A00-000014000000}" name="19" totalsRowFunction="count" dataDxfId="152" totalsRowDxfId="151"/>
    <tableColumn id="21" xr3:uid="{00000000-0010-0000-0A00-000015000000}" name="20" totalsRowFunction="count" dataDxfId="150" totalsRowDxfId="149"/>
    <tableColumn id="22" xr3:uid="{00000000-0010-0000-0A00-000016000000}" name="21" totalsRowFunction="count" dataDxfId="148" totalsRowDxfId="147"/>
    <tableColumn id="23" xr3:uid="{00000000-0010-0000-0A00-000017000000}" name="22" totalsRowFunction="count" dataDxfId="146" totalsRowDxfId="145"/>
    <tableColumn id="24" xr3:uid="{00000000-0010-0000-0A00-000018000000}" name="23" totalsRowFunction="count" dataDxfId="144" totalsRowDxfId="143"/>
    <tableColumn id="25" xr3:uid="{00000000-0010-0000-0A00-000019000000}" name="24" totalsRowFunction="count" dataDxfId="142" totalsRowDxfId="141"/>
    <tableColumn id="26" xr3:uid="{00000000-0010-0000-0A00-00001A000000}" name="25" totalsRowFunction="count" dataDxfId="140" totalsRowDxfId="139"/>
    <tableColumn id="27" xr3:uid="{00000000-0010-0000-0A00-00001B000000}" name="26" totalsRowFunction="count" dataDxfId="138" totalsRowDxfId="137"/>
    <tableColumn id="28" xr3:uid="{00000000-0010-0000-0A00-00001C000000}" name="27" totalsRowFunction="count" dataDxfId="136" totalsRowDxfId="135"/>
    <tableColumn id="29" xr3:uid="{00000000-0010-0000-0A00-00001D000000}" name="28" totalsRowFunction="count" dataDxfId="134" totalsRowDxfId="133"/>
    <tableColumn id="30" xr3:uid="{00000000-0010-0000-0A00-00001E000000}" name="29" totalsRowFunction="count" dataDxfId="132" totalsRowDxfId="131"/>
    <tableColumn id="31" xr3:uid="{00000000-0010-0000-0A00-00001F000000}" name="30" totalsRowFunction="count" dataDxfId="130" totalsRowDxfId="129"/>
    <tableColumn id="32" xr3:uid="{00000000-0010-0000-0A00-000020000000}" name=" " totalsRowFunction="count" dataDxfId="128" totalsRowDxfId="127"/>
    <tableColumn id="33" xr3:uid="{00000000-0010-0000-0A00-000021000000}" name="Total des jours" totalsRowFunction="sum" dataDxfId="126" totalsRowDxfId="125">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7" totalsRowCount="1" headerRowDxfId="119" dataDxfId="118" totalsRowDxfId="117">
  <tableColumns count="33">
    <tableColumn id="1" xr3:uid="{00000000-0010-0000-0B00-000001000000}" name="Nom de l’employé" totalsRowFunction="custom" dataDxfId="116" totalsRowDxfId="115" dataCellStyle="Employé">
      <totalsRowFormula>NomMois&amp;" Total"</totalsRowFormula>
    </tableColumn>
    <tableColumn id="2" xr3:uid="{00000000-0010-0000-0B00-000002000000}" name="1" totalsRowFunction="count" dataDxfId="114" totalsRowDxfId="113"/>
    <tableColumn id="3" xr3:uid="{00000000-0010-0000-0B00-000003000000}" name="2" totalsRowFunction="count" dataDxfId="112" totalsRowDxfId="111"/>
    <tableColumn id="4" xr3:uid="{00000000-0010-0000-0B00-000004000000}" name="3" totalsRowFunction="count" dataDxfId="110" totalsRowDxfId="109"/>
    <tableColumn id="5" xr3:uid="{00000000-0010-0000-0B00-000005000000}" name="4" totalsRowFunction="count" dataDxfId="108" totalsRowDxfId="107"/>
    <tableColumn id="6" xr3:uid="{00000000-0010-0000-0B00-000006000000}" name="5" totalsRowFunction="count" dataDxfId="106" totalsRowDxfId="105"/>
    <tableColumn id="7" xr3:uid="{00000000-0010-0000-0B00-000007000000}" name="6" totalsRowFunction="count" dataDxfId="104" totalsRowDxfId="103"/>
    <tableColumn id="8" xr3:uid="{00000000-0010-0000-0B00-000008000000}" name="7" totalsRowFunction="count" dataDxfId="102" totalsRowDxfId="101"/>
    <tableColumn id="9" xr3:uid="{00000000-0010-0000-0B00-000009000000}" name="8" totalsRowFunction="count" dataDxfId="100" totalsRowDxfId="99"/>
    <tableColumn id="10" xr3:uid="{00000000-0010-0000-0B00-00000A000000}" name="9" totalsRowFunction="count" dataDxfId="98" totalsRowDxfId="97"/>
    <tableColumn id="11" xr3:uid="{00000000-0010-0000-0B00-00000B000000}" name="10" totalsRowFunction="count" dataDxfId="96" totalsRowDxfId="95"/>
    <tableColumn id="12" xr3:uid="{00000000-0010-0000-0B00-00000C000000}" name="11" totalsRowFunction="count" dataDxfId="94" totalsRowDxfId="93"/>
    <tableColumn id="13" xr3:uid="{00000000-0010-0000-0B00-00000D000000}" name="12" totalsRowFunction="count" dataDxfId="92" totalsRowDxfId="91"/>
    <tableColumn id="14" xr3:uid="{00000000-0010-0000-0B00-00000E000000}" name="13" totalsRowFunction="count" dataDxfId="90" totalsRowDxfId="89"/>
    <tableColumn id="15" xr3:uid="{00000000-0010-0000-0B00-00000F000000}" name="14" totalsRowFunction="count" dataDxfId="88" totalsRowDxfId="87"/>
    <tableColumn id="16" xr3:uid="{00000000-0010-0000-0B00-000010000000}" name="15" totalsRowFunction="count" dataDxfId="86" totalsRowDxfId="85"/>
    <tableColumn id="17" xr3:uid="{00000000-0010-0000-0B00-000011000000}" name="16" totalsRowFunction="count" dataDxfId="84" totalsRowDxfId="83"/>
    <tableColumn id="18" xr3:uid="{00000000-0010-0000-0B00-000012000000}" name="17" totalsRowFunction="count" dataDxfId="82" totalsRowDxfId="81"/>
    <tableColumn id="19" xr3:uid="{00000000-0010-0000-0B00-000013000000}" name="18" totalsRowFunction="count" dataDxfId="80" totalsRowDxfId="79"/>
    <tableColumn id="20" xr3:uid="{00000000-0010-0000-0B00-000014000000}" name="19" totalsRowFunction="count" dataDxfId="78" totalsRowDxfId="77"/>
    <tableColumn id="21" xr3:uid="{00000000-0010-0000-0B00-000015000000}" name="20" totalsRowFunction="count" dataDxfId="76" totalsRowDxfId="75"/>
    <tableColumn id="22" xr3:uid="{00000000-0010-0000-0B00-000016000000}" name="21" totalsRowFunction="count" dataDxfId="74" totalsRowDxfId="73"/>
    <tableColumn id="23" xr3:uid="{00000000-0010-0000-0B00-000017000000}" name="22" totalsRowFunction="count" dataDxfId="72" totalsRowDxfId="71"/>
    <tableColumn id="24" xr3:uid="{00000000-0010-0000-0B00-000018000000}" name="23" totalsRowFunction="count" dataDxfId="70" totalsRowDxfId="69"/>
    <tableColumn id="25" xr3:uid="{00000000-0010-0000-0B00-000019000000}" name="24" totalsRowFunction="count" dataDxfId="68" totalsRowDxfId="67"/>
    <tableColumn id="26" xr3:uid="{00000000-0010-0000-0B00-00001A000000}" name="25" totalsRowFunction="count" dataDxfId="66" totalsRowDxfId="65"/>
    <tableColumn id="27" xr3:uid="{00000000-0010-0000-0B00-00001B000000}" name="26" totalsRowFunction="count" dataDxfId="64" totalsRowDxfId="63"/>
    <tableColumn id="28" xr3:uid="{00000000-0010-0000-0B00-00001C000000}" name="27" totalsRowFunction="count" dataDxfId="62" totalsRowDxfId="61"/>
    <tableColumn id="29" xr3:uid="{00000000-0010-0000-0B00-00001D000000}" name="28" totalsRowFunction="count" dataDxfId="60" totalsRowDxfId="59"/>
    <tableColumn id="30" xr3:uid="{00000000-0010-0000-0B00-00001E000000}" name="29" totalsRowFunction="count" dataDxfId="58" totalsRowDxfId="57"/>
    <tableColumn id="31" xr3:uid="{00000000-0010-0000-0B00-00001F000000}" name="30" totalsRowFunction="count" dataDxfId="56" totalsRowDxfId="55"/>
    <tableColumn id="32" xr3:uid="{00000000-0010-0000-0B00-000020000000}" name="31" totalsRowFunction="count" dataDxfId="54" totalsRowDxfId="53"/>
    <tableColumn id="33" xr3:uid="{00000000-0010-0000-0B00-000021000000}" name="Total des jours" totalsRowFunction="sum" dataDxfId="52" totalsRowDxfId="51">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50">
  <autoFilter ref="B3:B50" xr:uid="{00000000-0009-0000-0100-00000D000000}"/>
  <tableColumns count="1">
    <tableColumn id="1" xr3:uid="{00000000-0010-0000-0C00-000001000000}" name="Noms des employés" totalsRowFunction="count" totalsRowDxfId="50"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2" tint="-0.89999084444715716"/>
  </sheetPr>
  <dimension ref="A1:AH17"/>
  <sheetViews>
    <sheetView showGridLines="0" tabSelected="1" topLeftCell="A4" zoomScaleNormal="100" workbookViewId="0">
      <selection activeCell="Y12" sqref="Y12"/>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1:34" ht="50.1" customHeight="1" x14ac:dyDescent="0.25">
      <c r="A1" s="15"/>
      <c r="B1" s="12" t="s">
        <v>0</v>
      </c>
    </row>
    <row r="2" spans="1:34" ht="15" customHeight="1" x14ac:dyDescent="0.25">
      <c r="B2" s="16" t="s">
        <v>1</v>
      </c>
      <c r="C2" s="21" t="s">
        <v>9</v>
      </c>
      <c r="D2" s="28" t="s">
        <v>12</v>
      </c>
      <c r="E2" s="28"/>
      <c r="F2" s="22" t="s">
        <v>17</v>
      </c>
      <c r="G2" s="29" t="s">
        <v>24</v>
      </c>
      <c r="H2" s="28"/>
      <c r="I2" s="28"/>
      <c r="J2" s="23" t="s">
        <v>70</v>
      </c>
      <c r="K2" s="28" t="s">
        <v>71</v>
      </c>
      <c r="L2" s="28"/>
      <c r="M2" s="24" t="s">
        <v>72</v>
      </c>
      <c r="N2" s="28" t="s">
        <v>73</v>
      </c>
      <c r="O2" s="28"/>
      <c r="P2" s="28"/>
      <c r="Q2" s="28"/>
      <c r="R2" s="25" t="s">
        <v>76</v>
      </c>
      <c r="S2" s="28" t="s">
        <v>75</v>
      </c>
      <c r="T2" s="28"/>
      <c r="U2" s="28"/>
      <c r="V2" s="28"/>
      <c r="W2" s="25" t="s">
        <v>77</v>
      </c>
      <c r="X2" s="28" t="s">
        <v>78</v>
      </c>
      <c r="Y2" s="28"/>
      <c r="Z2" s="28"/>
      <c r="AA2" s="28"/>
    </row>
    <row r="3" spans="1:34" ht="15" customHeight="1" x14ac:dyDescent="0.25">
      <c r="AH3" s="17" t="s">
        <v>49</v>
      </c>
    </row>
    <row r="4" spans="1:34" ht="30" customHeight="1" x14ac:dyDescent="0.25">
      <c r="B4" s="10" t="s">
        <v>2</v>
      </c>
      <c r="C4" s="27" t="s">
        <v>10</v>
      </c>
      <c r="D4" s="27"/>
      <c r="E4" s="27"/>
      <c r="F4" s="27"/>
      <c r="G4" s="27"/>
      <c r="H4" s="27"/>
      <c r="I4" s="27"/>
      <c r="J4" s="27"/>
      <c r="K4" s="27"/>
      <c r="L4" s="27"/>
      <c r="M4" s="27"/>
      <c r="N4" s="27"/>
      <c r="O4" s="27"/>
      <c r="P4" s="27"/>
      <c r="Q4" s="27"/>
      <c r="R4" s="27"/>
      <c r="S4" s="27"/>
      <c r="T4" s="27"/>
      <c r="U4" s="27"/>
      <c r="V4" s="27"/>
      <c r="W4" s="27"/>
      <c r="X4" s="27"/>
      <c r="Y4" s="27"/>
      <c r="Z4" s="27"/>
      <c r="AA4" s="27"/>
      <c r="AB4" s="27"/>
      <c r="AC4" s="27"/>
      <c r="AD4" s="27"/>
      <c r="AE4" s="27"/>
      <c r="AF4" s="27"/>
      <c r="AG4" s="27"/>
      <c r="AH4" s="10">
        <v>2023</v>
      </c>
    </row>
    <row r="5" spans="1:34" ht="15" customHeight="1" x14ac:dyDescent="0.25">
      <c r="B5" s="10"/>
      <c r="C5" s="2" t="str">
        <f>TEXT(WEEKDAY(DATE(AnnéeCalendrier,1,1),1),"jjj")</f>
        <v>dim</v>
      </c>
      <c r="D5" s="2" t="str">
        <f>TEXT(WEEKDAY(DATE(AnnéeCalendrier,1,2),1),"jjj")</f>
        <v>lun</v>
      </c>
      <c r="E5" s="2" t="str">
        <f>TEXT(WEEKDAY(DATE(AnnéeCalendrier,1,3),1),"jjj")</f>
        <v>mar</v>
      </c>
      <c r="F5" s="2" t="str">
        <f>TEXT(WEEKDAY(DATE(AnnéeCalendrier,1,4),1),"jjj")</f>
        <v>mer</v>
      </c>
      <c r="G5" s="2" t="str">
        <f>TEXT(WEEKDAY(DATE(AnnéeCalendrier,1,5),1),"jjj")</f>
        <v>jeu</v>
      </c>
      <c r="H5" s="2" t="str">
        <f>TEXT(WEEKDAY(DATE(AnnéeCalendrier,1,6),1),"jjj")</f>
        <v>ven</v>
      </c>
      <c r="I5" s="2" t="str">
        <f>TEXT(WEEKDAY(DATE(AnnéeCalendrier,1,7),1),"jjj")</f>
        <v>sam</v>
      </c>
      <c r="J5" s="2" t="str">
        <f>TEXT(WEEKDAY(DATE(AnnéeCalendrier,1,8),1),"jjj")</f>
        <v>dim</v>
      </c>
      <c r="K5" s="2" t="str">
        <f>TEXT(WEEKDAY(DATE(AnnéeCalendrier,1,9),1),"jjj")</f>
        <v>lun</v>
      </c>
      <c r="L5" s="2" t="str">
        <f>TEXT(WEEKDAY(DATE(AnnéeCalendrier,1,10),1),"jjj")</f>
        <v>mar</v>
      </c>
      <c r="M5" s="2" t="str">
        <f>TEXT(WEEKDAY(DATE(AnnéeCalendrier,1,11),1),"jjj")</f>
        <v>mer</v>
      </c>
      <c r="N5" s="2" t="str">
        <f>TEXT(WEEKDAY(DATE(AnnéeCalendrier,1,12),1),"jjj")</f>
        <v>jeu</v>
      </c>
      <c r="O5" s="2" t="str">
        <f>TEXT(WEEKDAY(DATE(AnnéeCalendrier,1,13),1),"jjj")</f>
        <v>ven</v>
      </c>
      <c r="P5" s="2" t="str">
        <f>TEXT(WEEKDAY(DATE(AnnéeCalendrier,1,14),1),"jjj")</f>
        <v>sam</v>
      </c>
      <c r="Q5" s="2" t="str">
        <f>TEXT(WEEKDAY(DATE(AnnéeCalendrier,1,15),1),"jjj")</f>
        <v>dim</v>
      </c>
      <c r="R5" s="2" t="str">
        <f>TEXT(WEEKDAY(DATE(AnnéeCalendrier,1,16),1),"jjj")</f>
        <v>lun</v>
      </c>
      <c r="S5" s="2" t="str">
        <f>TEXT(WEEKDAY(DATE(AnnéeCalendrier,1,17),1),"jjj")</f>
        <v>mar</v>
      </c>
      <c r="T5" s="2" t="str">
        <f>TEXT(WEEKDAY(DATE(AnnéeCalendrier,1,18),1),"jjj")</f>
        <v>mer</v>
      </c>
      <c r="U5" s="2" t="str">
        <f>TEXT(WEEKDAY(DATE(AnnéeCalendrier,1,19),1),"jjj")</f>
        <v>jeu</v>
      </c>
      <c r="V5" s="2" t="str">
        <f>TEXT(WEEKDAY(DATE(AnnéeCalendrier,1,20),1),"jjj")</f>
        <v>ven</v>
      </c>
      <c r="W5" s="2" t="str">
        <f>TEXT(WEEKDAY(DATE(AnnéeCalendrier,1,21),1),"jjj")</f>
        <v>sam</v>
      </c>
      <c r="X5" s="2" t="str">
        <f>TEXT(WEEKDAY(DATE(AnnéeCalendrier,1,22),1),"jjj")</f>
        <v>dim</v>
      </c>
      <c r="Y5" s="2" t="str">
        <f>TEXT(WEEKDAY(DATE(AnnéeCalendrier,1,23),1),"jjj")</f>
        <v>lun</v>
      </c>
      <c r="Z5" s="2" t="str">
        <f>TEXT(WEEKDAY(DATE(AnnéeCalendrier,1,24),1),"jjj")</f>
        <v>mar</v>
      </c>
      <c r="AA5" s="2" t="str">
        <f>TEXT(WEEKDAY(DATE(AnnéeCalendrier,1,25),1),"jjj")</f>
        <v>mer</v>
      </c>
      <c r="AB5" s="2" t="str">
        <f>TEXT(WEEKDAY(DATE(AnnéeCalendrier,1,26),1),"jjj")</f>
        <v>jeu</v>
      </c>
      <c r="AC5" s="2" t="str">
        <f>TEXT(WEEKDAY(DATE(AnnéeCalendrier,1,27),1),"jjj")</f>
        <v>ven</v>
      </c>
      <c r="AD5" s="2" t="str">
        <f>TEXT(WEEKDAY(DATE(AnnéeCalendrier,1,28),1),"jjj")</f>
        <v>sam</v>
      </c>
      <c r="AE5" s="2" t="str">
        <f>TEXT(WEEKDAY(DATE(AnnéeCalendrier,1,29),1),"jjj")</f>
        <v>dim</v>
      </c>
      <c r="AF5" s="2" t="str">
        <f>TEXT(WEEKDAY(DATE(AnnéeCalendrier,1,30),1),"jjj")</f>
        <v>lun</v>
      </c>
      <c r="AG5" s="2" t="str">
        <f>TEXT(WEEKDAY(DATE(AnnéeCalendrier,1,31),1),"jjj")</f>
        <v>mar</v>
      </c>
      <c r="AH5" s="10"/>
    </row>
    <row r="6" spans="1: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1:34" ht="30" customHeight="1" x14ac:dyDescent="0.25">
      <c r="B7" s="8" t="s">
        <v>4</v>
      </c>
      <c r="C7" s="2" t="s">
        <v>17</v>
      </c>
      <c r="D7" s="2"/>
      <c r="E7" s="2" t="s">
        <v>9</v>
      </c>
      <c r="F7" s="2" t="s">
        <v>9</v>
      </c>
      <c r="G7" s="2" t="s">
        <v>9</v>
      </c>
      <c r="H7" s="2" t="s">
        <v>9</v>
      </c>
      <c r="I7" s="2"/>
      <c r="J7" s="2"/>
      <c r="K7" s="2"/>
      <c r="L7" s="2"/>
      <c r="M7" s="2"/>
      <c r="N7" s="2"/>
      <c r="O7" s="2" t="s">
        <v>9</v>
      </c>
      <c r="P7" s="2"/>
      <c r="Q7" s="2"/>
      <c r="R7" s="2"/>
      <c r="S7" s="2"/>
      <c r="T7" s="2"/>
      <c r="U7" s="2"/>
      <c r="V7" s="2"/>
      <c r="W7" s="2"/>
      <c r="X7" s="2"/>
      <c r="Y7" s="2"/>
      <c r="Z7" s="2"/>
      <c r="AA7" s="2"/>
      <c r="AB7" s="2"/>
      <c r="AC7" s="2"/>
      <c r="AD7" s="2"/>
      <c r="AE7" s="2"/>
      <c r="AF7" s="2"/>
      <c r="AG7" s="2"/>
      <c r="AH7" s="9">
        <f>COUNTA(Janvier!$C7:$AG7)</f>
        <v>6</v>
      </c>
    </row>
    <row r="8" spans="1:34" ht="30" customHeight="1" x14ac:dyDescent="0.25">
      <c r="B8" s="8" t="s">
        <v>5</v>
      </c>
      <c r="C8" s="2"/>
      <c r="D8" s="2"/>
      <c r="E8" s="2"/>
      <c r="F8" s="2"/>
      <c r="G8" s="2" t="s">
        <v>17</v>
      </c>
      <c r="H8" s="2" t="s">
        <v>17</v>
      </c>
      <c r="I8" s="2"/>
      <c r="J8" s="2"/>
      <c r="K8" s="2"/>
      <c r="L8" s="2"/>
      <c r="M8" s="2"/>
      <c r="N8" s="2"/>
      <c r="O8" s="2"/>
      <c r="P8" s="2"/>
      <c r="Q8" s="2"/>
      <c r="R8" s="2"/>
      <c r="S8" s="2"/>
      <c r="T8" s="2"/>
      <c r="U8" s="2"/>
      <c r="V8" s="2" t="s">
        <v>17</v>
      </c>
      <c r="W8" s="2"/>
      <c r="X8" s="2"/>
      <c r="Y8" s="2"/>
      <c r="Z8" s="2"/>
      <c r="AA8" s="2" t="s">
        <v>9</v>
      </c>
      <c r="AB8" s="2" t="s">
        <v>9</v>
      </c>
      <c r="AC8" s="2" t="s">
        <v>9</v>
      </c>
      <c r="AD8" s="2"/>
      <c r="AE8" s="2"/>
      <c r="AF8" s="2"/>
      <c r="AG8" s="2"/>
      <c r="AH8" s="9">
        <f>COUNTA(Janvier!$C8:$AG8)</f>
        <v>6</v>
      </c>
    </row>
    <row r="9" spans="1:34" ht="30" customHeight="1" x14ac:dyDescent="0.25">
      <c r="B9" s="8" t="s">
        <v>6</v>
      </c>
      <c r="C9" s="2"/>
      <c r="D9" s="2"/>
      <c r="E9" s="2" t="s">
        <v>17</v>
      </c>
      <c r="F9" s="2"/>
      <c r="G9" s="2"/>
      <c r="H9" s="2"/>
      <c r="I9" s="2"/>
      <c r="J9" s="2"/>
      <c r="K9" s="2"/>
      <c r="L9" s="2"/>
      <c r="M9" s="2"/>
      <c r="N9" s="2"/>
      <c r="O9" s="2"/>
      <c r="P9" s="2" t="s">
        <v>17</v>
      </c>
      <c r="Q9" s="2"/>
      <c r="R9" s="2"/>
      <c r="S9" s="2"/>
      <c r="T9" s="2"/>
      <c r="U9" s="2"/>
      <c r="V9" s="2"/>
      <c r="W9" s="2"/>
      <c r="X9" s="2"/>
      <c r="Y9" s="2"/>
      <c r="Z9" s="2"/>
      <c r="AA9" s="2"/>
      <c r="AB9" s="2"/>
      <c r="AC9" s="2"/>
      <c r="AD9" s="2"/>
      <c r="AE9" s="2" t="s">
        <v>17</v>
      </c>
      <c r="AF9" s="2"/>
      <c r="AG9" s="2"/>
      <c r="AH9" s="9">
        <f>COUNTA(Janvier!$C9:$AG9)</f>
        <v>3</v>
      </c>
    </row>
    <row r="10" spans="1:34" ht="30" customHeight="1" x14ac:dyDescent="0.25">
      <c r="B10" s="8" t="s">
        <v>7</v>
      </c>
      <c r="C10" s="2"/>
      <c r="D10" s="2"/>
      <c r="E10" s="2"/>
      <c r="F10" s="2"/>
      <c r="G10" s="2"/>
      <c r="H10" s="2"/>
      <c r="I10" s="2" t="s">
        <v>72</v>
      </c>
      <c r="J10" s="2"/>
      <c r="K10" s="2"/>
      <c r="L10" s="2"/>
      <c r="M10" s="2" t="s">
        <v>74</v>
      </c>
      <c r="N10" s="2"/>
      <c r="O10" s="2"/>
      <c r="P10" s="2"/>
      <c r="Q10" s="2"/>
      <c r="R10" s="2"/>
      <c r="S10" s="2"/>
      <c r="T10" s="2"/>
      <c r="U10" s="2" t="s">
        <v>9</v>
      </c>
      <c r="V10" s="2" t="s">
        <v>9</v>
      </c>
      <c r="W10" s="2" t="s">
        <v>9</v>
      </c>
      <c r="X10" s="2"/>
      <c r="Y10" s="2"/>
      <c r="Z10" s="2"/>
      <c r="AA10" s="2"/>
      <c r="AB10" s="2"/>
      <c r="AC10" s="2"/>
      <c r="AD10" s="2"/>
      <c r="AE10" s="2"/>
      <c r="AF10" s="2"/>
      <c r="AG10" s="2"/>
      <c r="AH10" s="9">
        <f>COUNTA(Janvier!$C10:$AG10)</f>
        <v>5</v>
      </c>
    </row>
    <row r="11" spans="1:34" ht="30" customHeight="1" x14ac:dyDescent="0.25">
      <c r="B11" s="8" t="s">
        <v>8</v>
      </c>
      <c r="C11" s="2"/>
      <c r="D11" s="2"/>
      <c r="E11" s="2"/>
      <c r="F11" s="2"/>
      <c r="G11" s="2"/>
      <c r="H11" s="2" t="s">
        <v>70</v>
      </c>
      <c r="I11" s="2"/>
      <c r="J11" s="2"/>
      <c r="K11" s="2"/>
      <c r="L11" s="2"/>
      <c r="M11" s="2"/>
      <c r="N11" s="2"/>
      <c r="O11" s="2"/>
      <c r="P11" s="2"/>
      <c r="Q11" s="2"/>
      <c r="R11" s="2"/>
      <c r="S11" s="2"/>
      <c r="T11" s="2"/>
      <c r="U11" s="2"/>
      <c r="V11" s="2"/>
      <c r="W11" s="2"/>
      <c r="X11" s="2"/>
      <c r="Y11" s="2"/>
      <c r="Z11" s="2"/>
      <c r="AA11" s="2"/>
      <c r="AB11" s="2"/>
      <c r="AC11" s="2"/>
      <c r="AD11" s="2"/>
      <c r="AE11" s="2"/>
      <c r="AF11" s="2"/>
      <c r="AG11" s="2"/>
      <c r="AH11" s="9">
        <f>COUNTA(Janvier!$C11:$AG11)</f>
        <v>1</v>
      </c>
    </row>
    <row r="12" spans="1: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COUNTA(Janvier!$C12:$AG12)</f>
        <v>0</v>
      </c>
    </row>
    <row r="13" spans="1: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COUNTA(Janvier!$C13:$AG13)</f>
        <v>0</v>
      </c>
    </row>
    <row r="14" spans="1:34" ht="30" customHeight="1" x14ac:dyDescent="0.25">
      <c r="B14" s="8" t="s">
        <v>67</v>
      </c>
      <c r="C14" s="2" t="s">
        <v>9</v>
      </c>
      <c r="D14" s="2" t="s">
        <v>17</v>
      </c>
      <c r="E14" s="2" t="s">
        <v>70</v>
      </c>
      <c r="F14" s="2" t="s">
        <v>72</v>
      </c>
      <c r="G14" s="2" t="s">
        <v>76</v>
      </c>
      <c r="H14" s="2" t="s">
        <v>77</v>
      </c>
      <c r="I14" s="2"/>
      <c r="J14" s="2"/>
      <c r="K14" s="2"/>
      <c r="L14" s="2"/>
      <c r="M14" s="2"/>
      <c r="N14" s="2"/>
      <c r="O14" s="2"/>
      <c r="P14" s="2"/>
      <c r="Q14" s="2"/>
      <c r="R14" s="2"/>
      <c r="S14" s="2"/>
      <c r="T14" s="2"/>
      <c r="U14" s="2"/>
      <c r="V14" s="2"/>
      <c r="W14" s="2"/>
      <c r="X14" s="2"/>
      <c r="Y14" s="2"/>
      <c r="Z14" s="2"/>
      <c r="AA14" s="2"/>
      <c r="AB14" s="2"/>
      <c r="AC14" s="2"/>
      <c r="AD14" s="2"/>
      <c r="AE14" s="2"/>
      <c r="AF14" s="2"/>
      <c r="AG14" s="2"/>
      <c r="AH14" s="9">
        <f>COUNTA(Janvier!$C14:$AG14)</f>
        <v>6</v>
      </c>
    </row>
    <row r="15" spans="1: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COUNTA(Janvier!$C15:$AG15)</f>
        <v>0</v>
      </c>
    </row>
    <row r="16" spans="1:34" ht="30" customHeight="1" x14ac:dyDescent="0.25">
      <c r="B16" s="8" t="s">
        <v>69</v>
      </c>
      <c r="C16" s="2"/>
      <c r="D16" s="2"/>
      <c r="E16" s="2"/>
      <c r="F16" s="2" t="s">
        <v>17</v>
      </c>
      <c r="G16" s="2" t="s">
        <v>9</v>
      </c>
      <c r="H16" s="2" t="s">
        <v>9</v>
      </c>
      <c r="I16" s="2"/>
      <c r="J16" s="2"/>
      <c r="K16" s="2"/>
      <c r="L16" s="2"/>
      <c r="M16" s="2"/>
      <c r="N16" s="2"/>
      <c r="O16" s="2"/>
      <c r="P16" s="2"/>
      <c r="Q16" s="2"/>
      <c r="R16" s="2"/>
      <c r="S16" s="2" t="s">
        <v>17</v>
      </c>
      <c r="T16" s="2"/>
      <c r="U16" s="2"/>
      <c r="V16" s="2"/>
      <c r="W16" s="2"/>
      <c r="X16" s="2"/>
      <c r="Y16" s="2"/>
      <c r="Z16" s="2" t="s">
        <v>17</v>
      </c>
      <c r="AA16" s="2"/>
      <c r="AB16" s="2"/>
      <c r="AC16" s="2"/>
      <c r="AD16" s="2"/>
      <c r="AE16" s="2"/>
      <c r="AF16" s="2"/>
      <c r="AG16" s="2" t="s">
        <v>9</v>
      </c>
      <c r="AH16" s="9">
        <f>COUNTA(Janvier!$C16:$AG16)</f>
        <v>6</v>
      </c>
    </row>
    <row r="17" spans="2:34" ht="30" customHeight="1" x14ac:dyDescent="0.25">
      <c r="B17" s="18" t="str">
        <f>NomMois&amp;" Total"</f>
        <v>Janvier Total</v>
      </c>
      <c r="C17" s="11">
        <f>SUBTOTAL(103,Janvier!$C$7:$C$16)</f>
        <v>2</v>
      </c>
      <c r="D17" s="11">
        <f>SUBTOTAL(103,Janvier!$D$7:$D$16)</f>
        <v>1</v>
      </c>
      <c r="E17" s="11">
        <f>SUBTOTAL(103,Janvier!$E$7:$E$16)</f>
        <v>3</v>
      </c>
      <c r="F17" s="11">
        <f>SUBTOTAL(103,Janvier!$F$7:$F$16)</f>
        <v>3</v>
      </c>
      <c r="G17" s="11">
        <f>SUBTOTAL(103,Janvier!$G$7:$G$16)</f>
        <v>4</v>
      </c>
      <c r="H17" s="11">
        <f>SUBTOTAL(103,Janvier!$H$7:$H$16)</f>
        <v>5</v>
      </c>
      <c r="I17" s="11">
        <f>SUBTOTAL(103,Janvier!$I$7:$I$16)</f>
        <v>1</v>
      </c>
      <c r="J17" s="11">
        <f>SUBTOTAL(103,Janvier!$J$7:$J$16)</f>
        <v>0</v>
      </c>
      <c r="K17" s="11">
        <f>SUBTOTAL(103,Janvier!$K$7:$K$16)</f>
        <v>0</v>
      </c>
      <c r="L17" s="11">
        <f>SUBTOTAL(103,Janvier!$L$7:$L$16)</f>
        <v>0</v>
      </c>
      <c r="M17" s="11">
        <f>SUBTOTAL(103,Janvier!$M$7:$M$16)</f>
        <v>1</v>
      </c>
      <c r="N17" s="11">
        <f>SUBTOTAL(103,Janvier!$N$7:$N$16)</f>
        <v>0</v>
      </c>
      <c r="O17" s="11">
        <f>SUBTOTAL(103,Janvier!$O$7:$O$16)</f>
        <v>1</v>
      </c>
      <c r="P17" s="11">
        <f>SUBTOTAL(103,Janvier!$P$7:$P$16)</f>
        <v>1</v>
      </c>
      <c r="Q17" s="11">
        <f>SUBTOTAL(103,Janvier!$Q$7:$Q$16)</f>
        <v>0</v>
      </c>
      <c r="R17" s="11">
        <f>SUBTOTAL(103,Janvier!$R$7:$R$16)</f>
        <v>0</v>
      </c>
      <c r="S17" s="11">
        <f>SUBTOTAL(103,Janvier!$S$7:$S$16)</f>
        <v>1</v>
      </c>
      <c r="T17" s="11">
        <f>SUBTOTAL(103,Janvier!$T$7:$T$16)</f>
        <v>0</v>
      </c>
      <c r="U17" s="11">
        <f>SUBTOTAL(103,Janvier!$U$7:$U$16)</f>
        <v>1</v>
      </c>
      <c r="V17" s="11">
        <f>SUBTOTAL(103,Janvier!$V$7:$V$16)</f>
        <v>2</v>
      </c>
      <c r="W17" s="11">
        <f>SUBTOTAL(103,Janvier!$W$7:$W$16)</f>
        <v>1</v>
      </c>
      <c r="X17" s="11">
        <f>SUBTOTAL(103,Janvier!$X$7:$X$16)</f>
        <v>0</v>
      </c>
      <c r="Y17" s="11">
        <f>SUBTOTAL(103,Janvier!$Y$7:$Y$16)</f>
        <v>0</v>
      </c>
      <c r="Z17" s="11">
        <f>SUBTOTAL(103,Janvier!$Z$7:$Z$16)</f>
        <v>1</v>
      </c>
      <c r="AA17" s="11">
        <f>SUBTOTAL(103,Janvier!$AA$7:$AA$16)</f>
        <v>1</v>
      </c>
      <c r="AB17" s="11">
        <f>SUBTOTAL(103,Janvier!$AB$7:$AB$16)</f>
        <v>1</v>
      </c>
      <c r="AC17" s="11">
        <f>SUBTOTAL(103,Janvier!$AC$7:$AC$16)</f>
        <v>1</v>
      </c>
      <c r="AD17" s="11">
        <f>SUBTOTAL(103,Janvier!$AD$7:$AD$16)</f>
        <v>0</v>
      </c>
      <c r="AE17" s="11">
        <f>SUBTOTAL(103,Janvier!$AE$7:$AE$16)</f>
        <v>1</v>
      </c>
      <c r="AF17" s="11">
        <f>SUBTOTAL(103,Janvier!$AF$7:$AF$16)</f>
        <v>0</v>
      </c>
      <c r="AG17" s="11">
        <f>SUBTOTAL(103,Janvier!$AG$7:$AG$16)</f>
        <v>1</v>
      </c>
      <c r="AH17" s="11">
        <f>SUBTOTAL(109,Janvier[Total des jours])</f>
        <v>33</v>
      </c>
    </row>
  </sheetData>
  <dataConsolidate/>
  <mergeCells count="7">
    <mergeCell ref="C4:AG4"/>
    <mergeCell ref="D2:E2"/>
    <mergeCell ref="G2:I2"/>
    <mergeCell ref="K2:L2"/>
    <mergeCell ref="N2:Q2"/>
    <mergeCell ref="S2:V2"/>
    <mergeCell ref="X2:AA2"/>
  </mergeCells>
  <phoneticPr fontId="19" type="noConversion"/>
  <conditionalFormatting sqref="C7:AG16">
    <cfRule type="expression" priority="2" stopIfTrue="1">
      <formula>C7=""</formula>
    </cfRule>
    <cfRule type="expression" dxfId="44" priority="7" stopIfTrue="1">
      <formula>C7=CléAbsenceinjust</formula>
    </cfRule>
    <cfRule type="expression" dxfId="43" priority="8" stopIfTrue="1">
      <formula>C7=CléAbsencejustif</formula>
    </cfRule>
    <cfRule type="expression" dxfId="42" priority="9" stopIfTrue="1">
      <formula>C7=CléAccident</formula>
    </cfRule>
    <cfRule type="expression" dxfId="39" priority="10" stopIfTrue="1">
      <formula>C7=CléMaladie.</formula>
    </cfRule>
    <cfRule type="expression" dxfId="41" priority="11" stopIfTrue="1">
      <formula>C7=CléCongé</formula>
    </cfRule>
    <cfRule type="expression" dxfId="40" priority="1" stopIfTrue="1">
      <formula>C7=CléAbsence</formula>
    </cfRule>
  </conditionalFormatting>
  <conditionalFormatting sqref="AH7:AH16">
    <cfRule type="dataBar" priority="169">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6">
    <dataValidation allowBlank="1" showInputMessage="1" showErrorMessage="1" prompt="Entrez l’année dans cette cellule." sqref="AH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00000000-0002-0000-0000-000007000000}"/>
    <dataValidation allowBlank="1" showInputMessage="1" showErrorMessage="1" prompt="La lettre « C » indique une absence pour cause de congé" sqref="C2" xr:uid="{00000000-0002-0000-0000-000008000000}"/>
    <dataValidation allowBlank="1" showInputMessage="1" showErrorMessage="1" prompt="La lettre « M » indique une absence pour motifs personnels" sqref="F2" xr:uid="{00000000-0002-0000-0000-000009000000}"/>
    <dataValidation allowBlank="1" showInputMessage="1" showErrorMessage="1" prompt="La lettre « A » indique une absence pour cause d'accident" sqref="J2" xr:uid="{00000000-0002-0000-0000-00000A000000}"/>
    <dataValidation allowBlank="1" showInputMessage="1" showErrorMessage="1" prompt="la lettre &quot; X &quot; indique une absence" sqref="W2" xr:uid="{00000000-0002-0000-0000-00000B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 xr:uid="{00000000-0002-0000-0000-00000E000000}"/>
    <dataValidation allowBlank="1" showInputMessage="1" showErrorMessage="1" prompt="la lettre &quot; J &quot; indique une absence justifiée" sqref="M2" xr:uid="{020A5333-3AE2-4DB0-8D63-6019E56C76BA}"/>
    <dataValidation allowBlank="1" showInputMessage="1" showErrorMessage="1" prompt="la lettre &quot; J &quot; indique une Absence injustifiée" sqref="R2" xr:uid="{038B17B7-2CCD-4599-8158-F9A5B8E45E21}"/>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employés'!$B$4:$B$8</xm:f>
          </x14:formula1>
          <xm:sqref>B7:B16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2" tint="-0.749992370372631"/>
  </sheetPr>
  <dimension ref="B1:AH17"/>
  <sheetViews>
    <sheetView showGridLines="0" zoomScaleNormal="100" workbookViewId="0">
      <selection activeCell="B7" sqref="B7: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8" t="s">
        <v>12</v>
      </c>
      <c r="E2" s="28"/>
      <c r="F2" s="4" t="s">
        <v>15</v>
      </c>
      <c r="G2" s="28" t="s">
        <v>19</v>
      </c>
      <c r="H2" s="28"/>
      <c r="I2" s="28"/>
      <c r="J2" s="5" t="s">
        <v>17</v>
      </c>
      <c r="K2" s="28" t="s">
        <v>24</v>
      </c>
      <c r="L2" s="28"/>
      <c r="M2" s="6"/>
      <c r="N2" s="28" t="s">
        <v>28</v>
      </c>
      <c r="O2" s="28"/>
      <c r="P2" s="28"/>
      <c r="Q2" s="28"/>
      <c r="R2" s="7"/>
      <c r="S2" s="28" t="s">
        <v>33</v>
      </c>
      <c r="T2" s="28"/>
      <c r="U2" s="28"/>
      <c r="V2" s="28"/>
    </row>
    <row r="3" spans="2:34" ht="15" customHeight="1" x14ac:dyDescent="0.25"/>
    <row r="4" spans="2:34" ht="30" customHeight="1" x14ac:dyDescent="0.25">
      <c r="B4" s="10" t="s">
        <v>51</v>
      </c>
      <c r="C4" s="27" t="s">
        <v>10</v>
      </c>
      <c r="D4" s="27"/>
      <c r="E4" s="27"/>
      <c r="F4" s="27"/>
      <c r="G4" s="27"/>
      <c r="H4" s="27"/>
      <c r="I4" s="27"/>
      <c r="J4" s="27"/>
      <c r="K4" s="27"/>
      <c r="L4" s="27"/>
      <c r="M4" s="27"/>
      <c r="N4" s="27"/>
      <c r="O4" s="27"/>
      <c r="P4" s="27"/>
      <c r="Q4" s="27"/>
      <c r="R4" s="27"/>
      <c r="S4" s="27"/>
      <c r="T4" s="27"/>
      <c r="U4" s="27"/>
      <c r="V4" s="27"/>
      <c r="W4" s="27"/>
      <c r="X4" s="27"/>
      <c r="Y4" s="27"/>
      <c r="Z4" s="27"/>
      <c r="AA4" s="27"/>
      <c r="AB4" s="27"/>
      <c r="AC4" s="27"/>
      <c r="AD4" s="27"/>
      <c r="AE4" s="27"/>
      <c r="AF4" s="27"/>
      <c r="AG4" s="27"/>
      <c r="AH4" s="10">
        <f>AnnéeCalendrier</f>
        <v>2023</v>
      </c>
    </row>
    <row r="5" spans="2:34" ht="15" customHeight="1" x14ac:dyDescent="0.25">
      <c r="B5" s="10"/>
      <c r="C5" s="2" t="str">
        <f>TEXT(WEEKDAY(DATE(AnnéeCalendrier,2,1),1),"jjj")</f>
        <v>mer</v>
      </c>
      <c r="D5" s="2" t="str">
        <f>TEXT(WEEKDAY(DATE(AnnéeCalendrier,2,2),1),"jjj")</f>
        <v>jeu</v>
      </c>
      <c r="E5" s="2" t="str">
        <f>TEXT(WEEKDAY(DATE(AnnéeCalendrier,2,3),1),"jjj")</f>
        <v>ven</v>
      </c>
      <c r="F5" s="2" t="str">
        <f>TEXT(WEEKDAY(DATE(AnnéeCalendrier,2,4),1),"jjj")</f>
        <v>sam</v>
      </c>
      <c r="G5" s="2" t="str">
        <f>TEXT(WEEKDAY(DATE(AnnéeCalendrier,2,5),1),"jjj")</f>
        <v>dim</v>
      </c>
      <c r="H5" s="2" t="str">
        <f>TEXT(WEEKDAY(DATE(AnnéeCalendrier,2,6),1),"jjj")</f>
        <v>lun</v>
      </c>
      <c r="I5" s="2" t="str">
        <f>TEXT(WEEKDAY(DATE(AnnéeCalendrier,2,7),1),"jjj")</f>
        <v>mar</v>
      </c>
      <c r="J5" s="2" t="str">
        <f>TEXT(WEEKDAY(DATE(AnnéeCalendrier,2,8),1),"jjj")</f>
        <v>mer</v>
      </c>
      <c r="K5" s="2" t="str">
        <f>TEXT(WEEKDAY(DATE(AnnéeCalendrier,2,9),1),"jjj")</f>
        <v>jeu</v>
      </c>
      <c r="L5" s="2" t="str">
        <f>TEXT(WEEKDAY(DATE(AnnéeCalendrier,2,10),1),"jjj")</f>
        <v>ven</v>
      </c>
      <c r="M5" s="2" t="str">
        <f>TEXT(WEEKDAY(DATE(AnnéeCalendrier,2,11),1),"jjj")</f>
        <v>sam</v>
      </c>
      <c r="N5" s="2" t="str">
        <f>TEXT(WEEKDAY(DATE(AnnéeCalendrier,2,12),1),"jjj")</f>
        <v>dim</v>
      </c>
      <c r="O5" s="2" t="str">
        <f>TEXT(WEEKDAY(DATE(AnnéeCalendrier,2,13),1),"jjj")</f>
        <v>lun</v>
      </c>
      <c r="P5" s="2" t="str">
        <f>TEXT(WEEKDAY(DATE(AnnéeCalendrier,2,14),1),"jjj")</f>
        <v>mar</v>
      </c>
      <c r="Q5" s="2" t="str">
        <f>TEXT(WEEKDAY(DATE(AnnéeCalendrier,2,15),1),"jjj")</f>
        <v>mer</v>
      </c>
      <c r="R5" s="2" t="str">
        <f>TEXT(WEEKDAY(DATE(AnnéeCalendrier,2,16),1),"jjj")</f>
        <v>jeu</v>
      </c>
      <c r="S5" s="2" t="str">
        <f>TEXT(WEEKDAY(DATE(AnnéeCalendrier,2,17),1),"jjj")</f>
        <v>ven</v>
      </c>
      <c r="T5" s="2" t="str">
        <f>TEXT(WEEKDAY(DATE(AnnéeCalendrier,2,18),1),"jjj")</f>
        <v>sam</v>
      </c>
      <c r="U5" s="2" t="str">
        <f>TEXT(WEEKDAY(DATE(AnnéeCalendrier,2,19),1),"jjj")</f>
        <v>dim</v>
      </c>
      <c r="V5" s="2" t="str">
        <f>TEXT(WEEKDAY(DATE(AnnéeCalendrier,2,20),1),"jjj")</f>
        <v>lun</v>
      </c>
      <c r="W5" s="2" t="str">
        <f>TEXT(WEEKDAY(DATE(AnnéeCalendrier,2,21),1),"jjj")</f>
        <v>mar</v>
      </c>
      <c r="X5" s="2" t="str">
        <f>TEXT(WEEKDAY(DATE(AnnéeCalendrier,2,22),1),"jjj")</f>
        <v>mer</v>
      </c>
      <c r="Y5" s="2" t="str">
        <f>TEXT(WEEKDAY(DATE(AnnéeCalendrier,2,23),1),"jjj")</f>
        <v>jeu</v>
      </c>
      <c r="Z5" s="2" t="str">
        <f>TEXT(WEEKDAY(DATE(AnnéeCalendrier,2,24),1),"jjj")</f>
        <v>ven</v>
      </c>
      <c r="AA5" s="2" t="str">
        <f>TEXT(WEEKDAY(DATE(AnnéeCalendrier,2,25),1),"jjj")</f>
        <v>sam</v>
      </c>
      <c r="AB5" s="2" t="str">
        <f>TEXT(WEEKDAY(DATE(AnnéeCalendrier,2,26),1),"jjj")</f>
        <v>dim</v>
      </c>
      <c r="AC5" s="2" t="str">
        <f>TEXT(WEEKDAY(DATE(AnnéeCalendrier,2,27),1),"jjj")</f>
        <v>lun</v>
      </c>
      <c r="AD5" s="2" t="str">
        <f>TEXT(WEEKDAY(DATE(AnnéeCalendrier,2,28),1),"jjj")</f>
        <v>mar</v>
      </c>
      <c r="AE5" s="2" t="str">
        <f>TEXT(WEEKDAY(DATE(AnnéeCalendrier,2,29),1),"jjj")</f>
        <v>mer</v>
      </c>
      <c r="AF5" s="2"/>
      <c r="AG5" s="2"/>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52</v>
      </c>
      <c r="AG6" s="2" t="s">
        <v>53</v>
      </c>
      <c r="AH6" s="14" t="s">
        <v>50</v>
      </c>
    </row>
    <row r="7" spans="2:34" ht="30" customHeight="1" x14ac:dyDescent="0.25">
      <c r="B7" s="8" t="s">
        <v>4</v>
      </c>
      <c r="C7" s="2"/>
      <c r="D7" s="2"/>
      <c r="E7" s="2" t="s">
        <v>9</v>
      </c>
      <c r="F7" s="2" t="s">
        <v>9</v>
      </c>
      <c r="G7" s="2" t="s">
        <v>9</v>
      </c>
      <c r="H7" s="2" t="s">
        <v>9</v>
      </c>
      <c r="I7" s="2"/>
      <c r="J7" s="2"/>
      <c r="K7" s="2"/>
      <c r="L7" s="2"/>
      <c r="M7" s="2"/>
      <c r="N7" s="2"/>
      <c r="O7" s="2" t="s">
        <v>9</v>
      </c>
      <c r="P7" s="2"/>
      <c r="Q7" s="2"/>
      <c r="R7" s="2"/>
      <c r="S7" s="2"/>
      <c r="T7" s="2"/>
      <c r="U7" s="2"/>
      <c r="V7" s="2"/>
      <c r="W7" s="2"/>
      <c r="X7" s="2"/>
      <c r="Y7" s="2"/>
      <c r="Z7" s="2"/>
      <c r="AA7" s="2"/>
      <c r="AB7" s="2"/>
      <c r="AC7" s="2"/>
      <c r="AD7" s="2"/>
      <c r="AE7" s="2"/>
      <c r="AF7" s="2"/>
      <c r="AG7" s="2"/>
      <c r="AH7" s="9">
        <f>COUNTA(Février[[#This Row],[1]:[29]])</f>
        <v>5</v>
      </c>
    </row>
    <row r="8" spans="2:34" ht="30" customHeight="1" x14ac:dyDescent="0.25">
      <c r="B8" s="8" t="s">
        <v>5</v>
      </c>
      <c r="C8" s="2"/>
      <c r="D8" s="2"/>
      <c r="E8" s="2"/>
      <c r="F8" s="2"/>
      <c r="G8" s="2" t="s">
        <v>17</v>
      </c>
      <c r="H8" s="2" t="s">
        <v>17</v>
      </c>
      <c r="I8" s="2"/>
      <c r="J8" s="2"/>
      <c r="K8" s="2"/>
      <c r="L8" s="2"/>
      <c r="M8" s="2" t="s">
        <v>15</v>
      </c>
      <c r="N8" s="2"/>
      <c r="O8" s="2"/>
      <c r="P8" s="2"/>
      <c r="Q8" s="2"/>
      <c r="R8" s="2"/>
      <c r="S8" s="2"/>
      <c r="T8" s="2"/>
      <c r="U8" s="2"/>
      <c r="V8" s="2" t="s">
        <v>17</v>
      </c>
      <c r="W8" s="2"/>
      <c r="X8" s="2"/>
      <c r="Y8" s="2"/>
      <c r="Z8" s="2"/>
      <c r="AA8" s="2" t="s">
        <v>9</v>
      </c>
      <c r="AB8" s="2" t="s">
        <v>9</v>
      </c>
      <c r="AC8" s="2" t="s">
        <v>9</v>
      </c>
      <c r="AD8" s="2"/>
      <c r="AE8" s="2"/>
      <c r="AF8" s="2"/>
      <c r="AG8" s="2"/>
      <c r="AH8" s="9">
        <f>COUNTA(Février[[#This Row],[1]:[29]])</f>
        <v>7</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COUNTA(Février[[#This Row],[1]:[29]])</f>
        <v>0</v>
      </c>
    </row>
    <row r="10" spans="2:34" ht="30" customHeight="1" x14ac:dyDescent="0.25">
      <c r="B10" s="8" t="s">
        <v>7</v>
      </c>
      <c r="C10" s="2"/>
      <c r="D10" s="2"/>
      <c r="E10" s="2" t="s">
        <v>17</v>
      </c>
      <c r="F10" s="2"/>
      <c r="G10" s="2"/>
      <c r="H10" s="2"/>
      <c r="I10" s="2"/>
      <c r="J10" s="2"/>
      <c r="K10" s="2"/>
      <c r="L10" s="2"/>
      <c r="M10" s="2"/>
      <c r="N10" s="2"/>
      <c r="O10" s="2"/>
      <c r="P10" s="2" t="s">
        <v>17</v>
      </c>
      <c r="Q10" s="2"/>
      <c r="R10" s="2"/>
      <c r="S10" s="2"/>
      <c r="T10" s="2" t="s">
        <v>15</v>
      </c>
      <c r="U10" s="2"/>
      <c r="V10" s="2"/>
      <c r="W10" s="2"/>
      <c r="X10" s="2"/>
      <c r="Y10" s="2"/>
      <c r="Z10" s="2"/>
      <c r="AA10" s="2"/>
      <c r="AB10" s="2"/>
      <c r="AC10" s="2"/>
      <c r="AD10" s="2" t="s">
        <v>17</v>
      </c>
      <c r="AE10" s="2"/>
      <c r="AF10" s="2"/>
      <c r="AG10" s="2"/>
      <c r="AH10" s="9">
        <f>COUNTA(Février[[#This Row],[1]:[29]])</f>
        <v>4</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COUNTA(Février[[#This Row],[1]:[29]])</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COUNTA(Février[[#This Row],[1]:[29]])</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COUNTA(Février[[#This Row],[1]:[29]])</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COUNTA(Février[[#This Row],[1]:[29]])</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COUNTA(Février[[#This Row],[1]:[29]])</f>
        <v>0</v>
      </c>
    </row>
    <row r="16" spans="2:34" ht="30" customHeight="1" x14ac:dyDescent="0.25">
      <c r="B16" s="8" t="s">
        <v>69</v>
      </c>
      <c r="C16" s="2"/>
      <c r="D16" s="2"/>
      <c r="E16" s="2"/>
      <c r="F16" s="2"/>
      <c r="G16" s="2"/>
      <c r="H16" s="2"/>
      <c r="I16" s="2"/>
      <c r="J16" s="2" t="s">
        <v>9</v>
      </c>
      <c r="K16" s="2" t="s">
        <v>9</v>
      </c>
      <c r="L16" s="2" t="s">
        <v>9</v>
      </c>
      <c r="M16" s="2" t="s">
        <v>9</v>
      </c>
      <c r="N16" s="2"/>
      <c r="O16" s="2"/>
      <c r="P16" s="2"/>
      <c r="Q16" s="2"/>
      <c r="R16" s="2"/>
      <c r="S16" s="2"/>
      <c r="T16" s="2"/>
      <c r="U16" s="2"/>
      <c r="V16" s="2"/>
      <c r="W16" s="2"/>
      <c r="X16" s="2"/>
      <c r="Y16" s="2"/>
      <c r="Z16" s="2" t="s">
        <v>17</v>
      </c>
      <c r="AA16" s="2"/>
      <c r="AB16" s="2"/>
      <c r="AC16" s="2"/>
      <c r="AD16" s="2"/>
      <c r="AE16" s="2"/>
      <c r="AF16" s="2"/>
      <c r="AG16" s="2"/>
      <c r="AH16" s="9">
        <f>COUNTA(Février[[#This Row],[1]:[29]])</f>
        <v>5</v>
      </c>
    </row>
    <row r="17" spans="2:34" ht="30" customHeight="1" x14ac:dyDescent="0.25">
      <c r="B17" s="18" t="str">
        <f>NomMois&amp;" Total"</f>
        <v>Février Total</v>
      </c>
      <c r="C17" s="11">
        <f>SUBTOTAL(103,Février[1])</f>
        <v>0</v>
      </c>
      <c r="D17" s="11">
        <f>SUBTOTAL(103,Février[2])</f>
        <v>0</v>
      </c>
      <c r="E17" s="11">
        <f>SUBTOTAL(103,Février[3])</f>
        <v>2</v>
      </c>
      <c r="F17" s="11">
        <f>SUBTOTAL(103,Février[4])</f>
        <v>1</v>
      </c>
      <c r="G17" s="11">
        <f>SUBTOTAL(103,Février[5])</f>
        <v>2</v>
      </c>
      <c r="H17" s="11">
        <f>SUBTOTAL(103,Février[6])</f>
        <v>2</v>
      </c>
      <c r="I17" s="11">
        <f>SUBTOTAL(103,Février[7])</f>
        <v>0</v>
      </c>
      <c r="J17" s="11">
        <f>SUBTOTAL(103,Février[8])</f>
        <v>1</v>
      </c>
      <c r="K17" s="11">
        <f>SUBTOTAL(103,Février[9])</f>
        <v>1</v>
      </c>
      <c r="L17" s="11">
        <f>SUBTOTAL(103,Février[10])</f>
        <v>1</v>
      </c>
      <c r="M17" s="11">
        <f>SUBTOTAL(103,Février[11])</f>
        <v>2</v>
      </c>
      <c r="N17" s="11">
        <f>SUBTOTAL(103,Février[12])</f>
        <v>0</v>
      </c>
      <c r="O17" s="11">
        <f>SUBTOTAL(103,Février[13])</f>
        <v>1</v>
      </c>
      <c r="P17" s="11">
        <f>SUBTOTAL(103,Février[14])</f>
        <v>1</v>
      </c>
      <c r="Q17" s="11">
        <f>SUBTOTAL(103,Février[15])</f>
        <v>0</v>
      </c>
      <c r="R17" s="11">
        <f>SUBTOTAL(103,Février[16])</f>
        <v>0</v>
      </c>
      <c r="S17" s="11">
        <f>SUBTOTAL(103,Février[17])</f>
        <v>0</v>
      </c>
      <c r="T17" s="11">
        <f>SUBTOTAL(103,Février[18])</f>
        <v>1</v>
      </c>
      <c r="U17" s="11">
        <f>SUBTOTAL(103,Février[19])</f>
        <v>0</v>
      </c>
      <c r="V17" s="11">
        <f>SUBTOTAL(103,Février[20])</f>
        <v>1</v>
      </c>
      <c r="W17" s="11">
        <f>SUBTOTAL(103,Février[21])</f>
        <v>0</v>
      </c>
      <c r="X17" s="11">
        <f>SUBTOTAL(103,Février[22])</f>
        <v>0</v>
      </c>
      <c r="Y17" s="11">
        <f>SUBTOTAL(103,Février[23])</f>
        <v>0</v>
      </c>
      <c r="Z17" s="11">
        <f>SUBTOTAL(103,Février[24])</f>
        <v>1</v>
      </c>
      <c r="AA17" s="11">
        <f>SUBTOTAL(103,Février[25])</f>
        <v>1</v>
      </c>
      <c r="AB17" s="11">
        <f>SUBTOTAL(103,Février[26])</f>
        <v>1</v>
      </c>
      <c r="AC17" s="11">
        <f>SUBTOTAL(103,Février[27])</f>
        <v>1</v>
      </c>
      <c r="AD17" s="11">
        <f>SUBTOTAL(103,Février[28])</f>
        <v>1</v>
      </c>
      <c r="AE17" s="11">
        <f>SUBTOTAL(103,Février[29])</f>
        <v>0</v>
      </c>
      <c r="AF17" s="11"/>
      <c r="AG17" s="11"/>
      <c r="AH17" s="11">
        <f>SUBTOTAL(109,Février[Total des jours])</f>
        <v>21</v>
      </c>
    </row>
  </sheetData>
  <mergeCells count="6">
    <mergeCell ref="C4:AG4"/>
    <mergeCell ref="D2:E2"/>
    <mergeCell ref="G2:I2"/>
    <mergeCell ref="K2:L2"/>
    <mergeCell ref="N2:Q2"/>
    <mergeCell ref="S2:V2"/>
  </mergeCells>
  <phoneticPr fontId="19" type="noConversion"/>
  <conditionalFormatting sqref="AE6">
    <cfRule type="expression" dxfId="866" priority="16">
      <formula>MONTH(DATE(AnnéeCalendrier,2,29))&lt;&gt;2</formula>
    </cfRule>
  </conditionalFormatting>
  <conditionalFormatting sqref="AE5">
    <cfRule type="expression" dxfId="865" priority="15">
      <formula>MONTH(DATE(AnnéeCalendrier,2,29))&lt;&gt;2</formula>
    </cfRule>
  </conditionalFormatting>
  <conditionalFormatting sqref="C7:AG16">
    <cfRule type="expression" priority="2" stopIfTrue="1">
      <formula>C7=""</formula>
    </cfRule>
    <cfRule type="expression" dxfId="864" priority="3" stopIfTrue="1">
      <formula>C7=CléPersonnalisée2</formula>
    </cfRule>
  </conditionalFormatting>
  <conditionalFormatting sqref="C7:AG16">
    <cfRule type="expression" dxfId="863" priority="5" stopIfTrue="1">
      <formula>C7=CléPersonnalisée1</formula>
    </cfRule>
    <cfRule type="expression" dxfId="862" priority="6" stopIfTrue="1">
      <formula>C7=CléMaladie</formula>
    </cfRule>
    <cfRule type="expression" dxfId="861" priority="7" stopIfTrue="1">
      <formula>C7=CléPersonnel</formula>
    </cfRule>
    <cfRule type="expression" dxfId="860" priority="8" stopIfTrue="1">
      <formula>C7=CléCongé</formula>
    </cfRule>
  </conditionalFormatting>
  <conditionalFormatting sqref="AH7:AH16">
    <cfRule type="dataBar" priority="153">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4">
    <dataValidation allowBlank="1" showInputMessage="1" showErrorMessage="1" prompt="Année mise à jour automatiquement en fonction de l’année entrée dans la feuille de calcul Janvier" sqref="AH4"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6" xr:uid="{00000000-0002-0000-0100-000002000000}"/>
    <dataValidation allowBlank="1" showInputMessage="1" showErrorMessage="1" prompt="Le titre mis à jour automatiquement figure dans cette cellule. Pour modifier le titre, mettez à jour la cellule B1 de la feuille de calcul Janvier" sqref="B1"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100-000005000000}"/>
    <dataValidation allowBlank="1" showInputMessage="1" showErrorMessage="1" prompt="Cette ligne définit les clés utilisées dans le tableau : Congé en C2, Personnel en F2 et Congé maladie en J2. Les cellules M2 et R2 sont personnalisables" sqref="B2" xr:uid="{00000000-0002-0000-0100-000006000000}"/>
    <dataValidation allowBlank="1" showInputMessage="1" showErrorMessage="1" prompt="Entrez une étiquette pour décrire la clé personnalisée à gauche" sqref="N2 S2" xr:uid="{00000000-0002-0000-0100-000007000000}"/>
    <dataValidation allowBlank="1" showInputMessage="1" showErrorMessage="1" prompt="Entrez une lettre et personnalisez l’étiquette à droite pour ajouter un élément de clé" sqref="M2 R2" xr:uid="{00000000-0002-0000-0100-000008000000}"/>
    <dataValidation allowBlank="1" showInputMessage="1" showErrorMessage="1" prompt="La lettre « M » indique une absence pour cause de maladie" sqref="J2" xr:uid="{00000000-0002-0000-0100-000009000000}"/>
    <dataValidation allowBlank="1" showInputMessage="1" showErrorMessage="1" prompt="La lettre « P » indique une absence pour motifs personnels" sqref="F2" xr:uid="{00000000-0002-0000-0100-00000A000000}"/>
    <dataValidation allowBlank="1" showInputMessage="1" showErrorMessage="1" prompt="La lettre « C » indique une absence pour cause de congé" sqref="C2" xr:uid="{00000000-0002-0000-01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1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00000000-0002-0000-0100-00000E000000}">
          <x14:formula1>
            <xm:f>'Noms des employés'!$B$4:$B$8</xm:f>
          </x14:formula1>
          <xm:sqref>B7:B16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2" tint="-0.499984740745262"/>
  </sheetPr>
  <dimension ref="B1:AH17"/>
  <sheetViews>
    <sheetView showGridLines="0" zoomScaleNormal="100" workbookViewId="0">
      <selection activeCell="B7" sqref="B7: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8" t="s">
        <v>12</v>
      </c>
      <c r="E2" s="28"/>
      <c r="F2" s="4" t="s">
        <v>15</v>
      </c>
      <c r="G2" s="28" t="s">
        <v>19</v>
      </c>
      <c r="H2" s="28"/>
      <c r="I2" s="28"/>
      <c r="J2" s="5" t="s">
        <v>17</v>
      </c>
      <c r="K2" s="28" t="s">
        <v>24</v>
      </c>
      <c r="L2" s="28"/>
      <c r="M2" s="6"/>
      <c r="N2" s="28" t="s">
        <v>28</v>
      </c>
      <c r="O2" s="28"/>
      <c r="P2" s="28"/>
      <c r="Q2" s="28"/>
      <c r="R2" s="7"/>
      <c r="S2" s="28" t="s">
        <v>33</v>
      </c>
      <c r="T2" s="28"/>
      <c r="U2" s="28"/>
      <c r="V2" s="28"/>
    </row>
    <row r="3" spans="2:34" ht="15" customHeight="1" x14ac:dyDescent="0.25">
      <c r="B3" s="12"/>
    </row>
    <row r="4" spans="2:34" ht="30" customHeight="1" x14ac:dyDescent="0.25">
      <c r="B4" s="10" t="s">
        <v>54</v>
      </c>
      <c r="C4" s="27" t="s">
        <v>10</v>
      </c>
      <c r="D4" s="27"/>
      <c r="E4" s="27"/>
      <c r="F4" s="27"/>
      <c r="G4" s="27"/>
      <c r="H4" s="27"/>
      <c r="I4" s="27"/>
      <c r="J4" s="27"/>
      <c r="K4" s="27"/>
      <c r="L4" s="27"/>
      <c r="M4" s="27"/>
      <c r="N4" s="27"/>
      <c r="O4" s="27"/>
      <c r="P4" s="27"/>
      <c r="Q4" s="27"/>
      <c r="R4" s="27"/>
      <c r="S4" s="27"/>
      <c r="T4" s="27"/>
      <c r="U4" s="27"/>
      <c r="V4" s="27"/>
      <c r="W4" s="27"/>
      <c r="X4" s="27"/>
      <c r="Y4" s="27"/>
      <c r="Z4" s="27"/>
      <c r="AA4" s="27"/>
      <c r="AB4" s="27"/>
      <c r="AC4" s="27"/>
      <c r="AD4" s="27"/>
      <c r="AE4" s="27"/>
      <c r="AF4" s="27"/>
      <c r="AG4" s="27"/>
      <c r="AH4" s="10">
        <f>AnnéeCalendrier</f>
        <v>2023</v>
      </c>
    </row>
    <row r="5" spans="2:34" ht="15" customHeight="1" x14ac:dyDescent="0.25">
      <c r="B5" s="10"/>
      <c r="C5" s="2" t="str">
        <f>TEXT(WEEKDAY(DATE(AnnéeCalendrier,3,1),1),"jjj")</f>
        <v>mer</v>
      </c>
      <c r="D5" s="2" t="str">
        <f>TEXT(WEEKDAY(DATE(AnnéeCalendrier,3,2),1),"jjj")</f>
        <v>jeu</v>
      </c>
      <c r="E5" s="2" t="str">
        <f>TEXT(WEEKDAY(DATE(AnnéeCalendrier,3,3),1),"jjj")</f>
        <v>ven</v>
      </c>
      <c r="F5" s="2" t="str">
        <f>TEXT(WEEKDAY(DATE(AnnéeCalendrier,3,4),1),"jjj")</f>
        <v>sam</v>
      </c>
      <c r="G5" s="2" t="str">
        <f>TEXT(WEEKDAY(DATE(AnnéeCalendrier,3,5),1),"jjj")</f>
        <v>dim</v>
      </c>
      <c r="H5" s="2" t="str">
        <f>TEXT(WEEKDAY(DATE(AnnéeCalendrier,3,6),1),"jjj")</f>
        <v>lun</v>
      </c>
      <c r="I5" s="2" t="str">
        <f>TEXT(WEEKDAY(DATE(AnnéeCalendrier,3,7),1),"jjj")</f>
        <v>mar</v>
      </c>
      <c r="J5" s="2" t="str">
        <f>TEXT(WEEKDAY(DATE(AnnéeCalendrier,3,8),1),"jjj")</f>
        <v>mer</v>
      </c>
      <c r="K5" s="2" t="str">
        <f>TEXT(WEEKDAY(DATE(AnnéeCalendrier,3,9),1),"jjj")</f>
        <v>jeu</v>
      </c>
      <c r="L5" s="2" t="str">
        <f>TEXT(WEEKDAY(DATE(AnnéeCalendrier,3,10),1),"jjj")</f>
        <v>ven</v>
      </c>
      <c r="M5" s="2" t="str">
        <f>TEXT(WEEKDAY(DATE(AnnéeCalendrier,3,11),1),"jjj")</f>
        <v>sam</v>
      </c>
      <c r="N5" s="2" t="str">
        <f>TEXT(WEEKDAY(DATE(AnnéeCalendrier,3,12),1),"jjj")</f>
        <v>dim</v>
      </c>
      <c r="O5" s="2" t="str">
        <f>TEXT(WEEKDAY(DATE(AnnéeCalendrier,3,13),1),"jjj")</f>
        <v>lun</v>
      </c>
      <c r="P5" s="2" t="str">
        <f>TEXT(WEEKDAY(DATE(AnnéeCalendrier,3,14),1),"jjj")</f>
        <v>mar</v>
      </c>
      <c r="Q5" s="2" t="str">
        <f>TEXT(WEEKDAY(DATE(AnnéeCalendrier,3,15),1),"jjj")</f>
        <v>mer</v>
      </c>
      <c r="R5" s="2" t="str">
        <f>TEXT(WEEKDAY(DATE(AnnéeCalendrier,3,16),1),"jjj")</f>
        <v>jeu</v>
      </c>
      <c r="S5" s="2" t="str">
        <f>TEXT(WEEKDAY(DATE(AnnéeCalendrier,3,17),1),"jjj")</f>
        <v>ven</v>
      </c>
      <c r="T5" s="2" t="str">
        <f>TEXT(WEEKDAY(DATE(AnnéeCalendrier,3,18),1),"jjj")</f>
        <v>sam</v>
      </c>
      <c r="U5" s="2" t="str">
        <f>TEXT(WEEKDAY(DATE(AnnéeCalendrier,3,19),1),"jjj")</f>
        <v>dim</v>
      </c>
      <c r="V5" s="2" t="str">
        <f>TEXT(WEEKDAY(DATE(AnnéeCalendrier,3,20),1),"jjj")</f>
        <v>lun</v>
      </c>
      <c r="W5" s="2" t="str">
        <f>TEXT(WEEKDAY(DATE(AnnéeCalendrier,3,21),1),"jjj")</f>
        <v>mar</v>
      </c>
      <c r="X5" s="2" t="str">
        <f>TEXT(WEEKDAY(DATE(AnnéeCalendrier,3,22),1),"jjj")</f>
        <v>mer</v>
      </c>
      <c r="Y5" s="2" t="str">
        <f>TEXT(WEEKDAY(DATE(AnnéeCalendrier,3,23),1),"jjj")</f>
        <v>jeu</v>
      </c>
      <c r="Z5" s="2" t="str">
        <f>TEXT(WEEKDAY(DATE(AnnéeCalendrier,3,24),1),"jjj")</f>
        <v>ven</v>
      </c>
      <c r="AA5" s="2" t="str">
        <f>TEXT(WEEKDAY(DATE(AnnéeCalendrier,3,25),1),"jjj")</f>
        <v>sam</v>
      </c>
      <c r="AB5" s="2" t="str">
        <f>TEXT(WEEKDAY(DATE(AnnéeCalendrier,3,26),1),"jjj")</f>
        <v>dim</v>
      </c>
      <c r="AC5" s="2" t="str">
        <f>TEXT(WEEKDAY(DATE(AnnéeCalendrier,3,27),1),"jjj")</f>
        <v>lun</v>
      </c>
      <c r="AD5" s="2" t="str">
        <f>TEXT(WEEKDAY(DATE(AnnéeCalendrier,3,28),1),"jjj")</f>
        <v>mar</v>
      </c>
      <c r="AE5" s="2" t="str">
        <f>TEXT(WEEKDAY(DATE(AnnéeCalendrier,3,29),1),"jjj")</f>
        <v>mer</v>
      </c>
      <c r="AF5" s="2" t="str">
        <f>TEXT(WEEKDAY(DATE(AnnéeCalendrier,3,30),1),"jjj")</f>
        <v>jeu</v>
      </c>
      <c r="AG5" s="2" t="str">
        <f>TEXT(WEEKDAY(DATE(AnnéeCalendrier,3,31),1),"jjj")</f>
        <v>ven</v>
      </c>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COUNTA(Mars[[#This Row],[1]:[31]])</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COUNTA(Mars[[#This Row],[1]:[31]])</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COUNTA(Mars[[#This Row],[1]:[31]])</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COUNTA(Mars[[#This Row],[1]:[31]])</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COUNTA(Mars[[#This Row],[1]:[31]])</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COUNTA(Mars[[#This Row],[1]:[31]])</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COUNTA(Mars[[#This Row],[1]:[31]])</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COUNTA(Mars[[#This Row],[1]:[31]])</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COUNTA(Mars[[#This Row],[1]:[31]])</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COUNTA(Mars[[#This Row],[1]:[31]])</f>
        <v>0</v>
      </c>
    </row>
    <row r="17" spans="2:34" ht="30" customHeight="1" x14ac:dyDescent="0.25">
      <c r="B17" s="18" t="str">
        <f>NomMois&amp;" Total"</f>
        <v>Mars Total</v>
      </c>
      <c r="C17" s="11">
        <f>SUBTOTAL(103,Mars[1])</f>
        <v>0</v>
      </c>
      <c r="D17" s="11">
        <f>SUBTOTAL(103,Mars[2])</f>
        <v>0</v>
      </c>
      <c r="E17" s="11">
        <f>SUBTOTAL(103,Mars[3])</f>
        <v>0</v>
      </c>
      <c r="F17" s="11">
        <f>SUBTOTAL(103,Mars[4])</f>
        <v>0</v>
      </c>
      <c r="G17" s="11">
        <f>SUBTOTAL(103,Mars[5])</f>
        <v>0</v>
      </c>
      <c r="H17" s="11">
        <f>SUBTOTAL(103,Mars[6])</f>
        <v>0</v>
      </c>
      <c r="I17" s="11">
        <f>SUBTOTAL(103,Mars[7])</f>
        <v>0</v>
      </c>
      <c r="J17" s="11">
        <f>SUBTOTAL(103,Mars[8])</f>
        <v>0</v>
      </c>
      <c r="K17" s="11">
        <f>SUBTOTAL(103,Mars[9])</f>
        <v>0</v>
      </c>
      <c r="L17" s="11">
        <f>SUBTOTAL(103,Mars[10])</f>
        <v>0</v>
      </c>
      <c r="M17" s="11">
        <f>SUBTOTAL(103,Mars[11])</f>
        <v>0</v>
      </c>
      <c r="N17" s="11">
        <f>SUBTOTAL(103,Mars[12])</f>
        <v>0</v>
      </c>
      <c r="O17" s="11">
        <f>SUBTOTAL(103,Mars[13])</f>
        <v>0</v>
      </c>
      <c r="P17" s="11">
        <f>SUBTOTAL(103,Mars[14])</f>
        <v>0</v>
      </c>
      <c r="Q17" s="11">
        <f>SUBTOTAL(103,Mars[15])</f>
        <v>0</v>
      </c>
      <c r="R17" s="11">
        <f>SUBTOTAL(103,Mars[16])</f>
        <v>0</v>
      </c>
      <c r="S17" s="11">
        <f>SUBTOTAL(103,Mars[17])</f>
        <v>0</v>
      </c>
      <c r="T17" s="11">
        <f>SUBTOTAL(103,Mars[18])</f>
        <v>0</v>
      </c>
      <c r="U17" s="11">
        <f>SUBTOTAL(103,Mars[19])</f>
        <v>0</v>
      </c>
      <c r="V17" s="11">
        <f>SUBTOTAL(103,Mars[20])</f>
        <v>0</v>
      </c>
      <c r="W17" s="11">
        <f>SUBTOTAL(103,Mars[21])</f>
        <v>0</v>
      </c>
      <c r="X17" s="11">
        <f>SUBTOTAL(103,Mars[22])</f>
        <v>0</v>
      </c>
      <c r="Y17" s="11">
        <f>SUBTOTAL(103,Mars[23])</f>
        <v>0</v>
      </c>
      <c r="Z17" s="11">
        <f>SUBTOTAL(103,Mars[24])</f>
        <v>0</v>
      </c>
      <c r="AA17" s="11">
        <f>SUBTOTAL(103,Mars[25])</f>
        <v>0</v>
      </c>
      <c r="AB17" s="11">
        <f>SUBTOTAL(103,Mars[26])</f>
        <v>0</v>
      </c>
      <c r="AC17" s="11">
        <f>SUBTOTAL(103,Mars[27])</f>
        <v>0</v>
      </c>
      <c r="AD17" s="11">
        <f>SUBTOTAL(103,Mars[28])</f>
        <v>0</v>
      </c>
      <c r="AE17" s="11">
        <f>SUBTOTAL(103,Mars[29])</f>
        <v>0</v>
      </c>
      <c r="AF17" s="11">
        <f>SUBTOTAL(103,Mars[30])</f>
        <v>0</v>
      </c>
      <c r="AG17" s="11">
        <f>SUBTOTAL(103,Mars[31])</f>
        <v>0</v>
      </c>
      <c r="AH17" s="11">
        <f>SUBTOTAL(109,Mars[Total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790" priority="2" stopIfTrue="1">
      <formula>C7=CléPersonnalisée2</formula>
    </cfRule>
    <cfRule type="expression" dxfId="789" priority="3" stopIfTrue="1">
      <formula>C7=CléPersonnalisée1</formula>
    </cfRule>
    <cfRule type="expression" dxfId="788" priority="4" stopIfTrue="1">
      <formula>C7=CléMaladie</formula>
    </cfRule>
    <cfRule type="expression" dxfId="787" priority="5" stopIfTrue="1">
      <formula>C7=CléPersonnel</formula>
    </cfRule>
    <cfRule type="expression" dxfId="786" priority="6" stopIfTrue="1">
      <formula>C7=CléCongé</formula>
    </cfRule>
  </conditionalFormatting>
  <conditionalFormatting sqref="AH7:AH16">
    <cfRule type="dataBar" priority="233">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2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200-000002000000}"/>
    <dataValidation allowBlank="1" showInputMessage="1" showErrorMessage="1" prompt="Cette ligne définit les clés utilisées dans le tableau : Congé en C2, Personnel en F2 et Congé maladie en J2. Les cellules M2 et R2 sont personnalisables" sqref="B2" xr:uid="{00000000-0002-0000-0200-000003000000}"/>
    <dataValidation allowBlank="1" showInputMessage="1" showErrorMessage="1" prompt="Entrez une étiquette pour décrire la clé personnalisée à gauche" sqref="N2 S2" xr:uid="{00000000-0002-0000-0200-000004000000}"/>
    <dataValidation allowBlank="1" showInputMessage="1" showErrorMessage="1" prompt="Entrez une lettre et personnalisez l’étiquette à droite pour ajouter un élément de clé" sqref="M2 R2" xr:uid="{00000000-0002-0000-0200-000005000000}"/>
    <dataValidation allowBlank="1" showInputMessage="1" showErrorMessage="1" prompt="La lettre « M » indique une absence pour cause de maladie" sqref="J2" xr:uid="{00000000-0002-0000-0200-000006000000}"/>
    <dataValidation allowBlank="1" showInputMessage="1" showErrorMessage="1" prompt="La lettre « P » indique une absence pour motifs personnels" sqref="F2" xr:uid="{00000000-0002-0000-0200-000007000000}"/>
    <dataValidation allowBlank="1" showInputMessage="1" showErrorMessage="1" prompt="La lettre « C » indique une absence pour cause de congé" sqref="C2" xr:uid="{00000000-0002-0000-0200-000008000000}"/>
    <dataValidation allowBlank="1" showInputMessage="1" showErrorMessage="1" prompt="Le titre mis à jour automatiquement figure dans cette cellule. Pour modifier le titre, mettez à jour la cellule B1 de la feuille de calcul Janvier" sqref="B1" xr:uid="{00000000-0002-0000-02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200-00000A000000}"/>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6" xr:uid="{00000000-0002-0000-0200-00000C000000}"/>
    <dataValidation allowBlank="1" showInputMessage="1" showErrorMessage="1" prompt="Année mise à jour automatiquement en fonction de l’année entrée dans la feuille de calcul Janvier" sqref="AH4" xr:uid="{00000000-0002-0000-02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E000000}">
          <x14:formula1>
            <xm:f>'Noms des employés'!$B$4:$B$8</xm:f>
          </x14:formula1>
          <xm:sqref>B7:B16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theme="2" tint="-0.249977111117893"/>
  </sheetPr>
  <dimension ref="B1:AH17"/>
  <sheetViews>
    <sheetView showGridLines="0" zoomScaleNormal="100" workbookViewId="0">
      <selection activeCell="B15" sqref="B15"/>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8" t="s">
        <v>12</v>
      </c>
      <c r="E2" s="28"/>
      <c r="F2" s="4" t="s">
        <v>15</v>
      </c>
      <c r="G2" s="28" t="s">
        <v>19</v>
      </c>
      <c r="H2" s="28"/>
      <c r="I2" s="28"/>
      <c r="J2" s="5" t="s">
        <v>17</v>
      </c>
      <c r="K2" s="28" t="s">
        <v>24</v>
      </c>
      <c r="L2" s="28"/>
      <c r="M2" s="6"/>
      <c r="N2" s="28" t="s">
        <v>28</v>
      </c>
      <c r="O2" s="28"/>
      <c r="P2" s="28"/>
      <c r="Q2" s="28"/>
      <c r="R2" s="7"/>
      <c r="S2" s="28" t="s">
        <v>33</v>
      </c>
      <c r="T2" s="28"/>
      <c r="U2" s="28"/>
      <c r="V2" s="28"/>
    </row>
    <row r="3" spans="2:34" ht="15" customHeight="1" x14ac:dyDescent="0.25">
      <c r="B3" s="12"/>
    </row>
    <row r="4" spans="2:34" ht="30" customHeight="1" x14ac:dyDescent="0.25">
      <c r="B4" s="10" t="s">
        <v>55</v>
      </c>
      <c r="C4" s="27" t="s">
        <v>10</v>
      </c>
      <c r="D4" s="27"/>
      <c r="E4" s="27"/>
      <c r="F4" s="27"/>
      <c r="G4" s="27"/>
      <c r="H4" s="27"/>
      <c r="I4" s="27"/>
      <c r="J4" s="27"/>
      <c r="K4" s="27"/>
      <c r="L4" s="27"/>
      <c r="M4" s="27"/>
      <c r="N4" s="27"/>
      <c r="O4" s="27"/>
      <c r="P4" s="27"/>
      <c r="Q4" s="27"/>
      <c r="R4" s="27"/>
      <c r="S4" s="27"/>
      <c r="T4" s="27"/>
      <c r="U4" s="27"/>
      <c r="V4" s="27"/>
      <c r="W4" s="27"/>
      <c r="X4" s="27"/>
      <c r="Y4" s="27"/>
      <c r="Z4" s="27"/>
      <c r="AA4" s="27"/>
      <c r="AB4" s="27"/>
      <c r="AC4" s="27"/>
      <c r="AD4" s="27"/>
      <c r="AE4" s="27"/>
      <c r="AF4" s="27"/>
      <c r="AG4" s="27"/>
      <c r="AH4" s="10">
        <f>AnnéeCalendrier</f>
        <v>2023</v>
      </c>
    </row>
    <row r="5" spans="2:34" ht="15" customHeight="1" x14ac:dyDescent="0.25">
      <c r="B5" s="10"/>
      <c r="C5" s="2" t="str">
        <f>TEXT(WEEKDAY(DATE(AnnéeCalendrier,4,1),1),"jjj")</f>
        <v>sam</v>
      </c>
      <c r="D5" s="2" t="str">
        <f>TEXT(WEEKDAY(DATE(AnnéeCalendrier,4,2),1),"jjj")</f>
        <v>dim</v>
      </c>
      <c r="E5" s="2" t="str">
        <f>TEXT(WEEKDAY(DATE(AnnéeCalendrier,4,3),1),"jjj")</f>
        <v>lun</v>
      </c>
      <c r="F5" s="2" t="str">
        <f>TEXT(WEEKDAY(DATE(AnnéeCalendrier,4,4),1),"jjj")</f>
        <v>mar</v>
      </c>
      <c r="G5" s="2" t="str">
        <f>TEXT(WEEKDAY(DATE(AnnéeCalendrier,4,5),1),"jjj")</f>
        <v>mer</v>
      </c>
      <c r="H5" s="2" t="str">
        <f>TEXT(WEEKDAY(DATE(AnnéeCalendrier,4,6),1),"jjj")</f>
        <v>jeu</v>
      </c>
      <c r="I5" s="2" t="str">
        <f>TEXT(WEEKDAY(DATE(AnnéeCalendrier,4,7),1),"jjj")</f>
        <v>ven</v>
      </c>
      <c r="J5" s="2" t="str">
        <f>TEXT(WEEKDAY(DATE(AnnéeCalendrier,4,8),1),"jjj")</f>
        <v>sam</v>
      </c>
      <c r="K5" s="2" t="str">
        <f>TEXT(WEEKDAY(DATE(AnnéeCalendrier,4,9),1),"jjj")</f>
        <v>dim</v>
      </c>
      <c r="L5" s="2" t="str">
        <f>TEXT(WEEKDAY(DATE(AnnéeCalendrier,4,10),1),"jjj")</f>
        <v>lun</v>
      </c>
      <c r="M5" s="2" t="str">
        <f>TEXT(WEEKDAY(DATE(AnnéeCalendrier,4,11),1),"jjj")</f>
        <v>mar</v>
      </c>
      <c r="N5" s="2" t="str">
        <f>TEXT(WEEKDAY(DATE(AnnéeCalendrier,4,12),1),"jjj")</f>
        <v>mer</v>
      </c>
      <c r="O5" s="2" t="str">
        <f>TEXT(WEEKDAY(DATE(AnnéeCalendrier,4,13),1),"jjj")</f>
        <v>jeu</v>
      </c>
      <c r="P5" s="2" t="str">
        <f>TEXT(WEEKDAY(DATE(AnnéeCalendrier,4,14),1),"jjj")</f>
        <v>ven</v>
      </c>
      <c r="Q5" s="2" t="str">
        <f>TEXT(WEEKDAY(DATE(AnnéeCalendrier,4,15),1),"jjj")</f>
        <v>sam</v>
      </c>
      <c r="R5" s="2" t="str">
        <f>TEXT(WEEKDAY(DATE(AnnéeCalendrier,4,16),1),"jjj")</f>
        <v>dim</v>
      </c>
      <c r="S5" s="2" t="str">
        <f>TEXT(WEEKDAY(DATE(AnnéeCalendrier,4,17),1),"jjj")</f>
        <v>lun</v>
      </c>
      <c r="T5" s="2" t="str">
        <f>TEXT(WEEKDAY(DATE(AnnéeCalendrier,4,18),1),"jjj")</f>
        <v>mar</v>
      </c>
      <c r="U5" s="2" t="str">
        <f>TEXT(WEEKDAY(DATE(AnnéeCalendrier,4,19),1),"jjj")</f>
        <v>mer</v>
      </c>
      <c r="V5" s="2" t="str">
        <f>TEXT(WEEKDAY(DATE(AnnéeCalendrier,4,20),1),"jjj")</f>
        <v>jeu</v>
      </c>
      <c r="W5" s="2" t="str">
        <f>TEXT(WEEKDAY(DATE(AnnéeCalendrier,4,21),1),"jjj")</f>
        <v>ven</v>
      </c>
      <c r="X5" s="2" t="str">
        <f>TEXT(WEEKDAY(DATE(AnnéeCalendrier,4,22),1),"jjj")</f>
        <v>sam</v>
      </c>
      <c r="Y5" s="2" t="str">
        <f>TEXT(WEEKDAY(DATE(AnnéeCalendrier,4,23),1),"jjj")</f>
        <v>dim</v>
      </c>
      <c r="Z5" s="2" t="str">
        <f>TEXT(WEEKDAY(DATE(AnnéeCalendrier,4,24),1),"jjj")</f>
        <v>lun</v>
      </c>
      <c r="AA5" s="2" t="str">
        <f>TEXT(WEEKDAY(DATE(AnnéeCalendrier,4,25),1),"jjj")</f>
        <v>mar</v>
      </c>
      <c r="AB5" s="2" t="str">
        <f>TEXT(WEEKDAY(DATE(AnnéeCalendrier,4,26),1),"jjj")</f>
        <v>mer</v>
      </c>
      <c r="AC5" s="2" t="str">
        <f>TEXT(WEEKDAY(DATE(AnnéeCalendrier,4,27),1),"jjj")</f>
        <v>jeu</v>
      </c>
      <c r="AD5" s="2" t="str">
        <f>TEXT(WEEKDAY(DATE(AnnéeCalendrier,4,28),1),"jjj")</f>
        <v>ven</v>
      </c>
      <c r="AE5" s="2" t="str">
        <f>TEXT(WEEKDAY(DATE(AnnéeCalendrier,4,29),1),"jjj")</f>
        <v>sam</v>
      </c>
      <c r="AF5" s="2" t="str">
        <f>TEXT(WEEKDAY(DATE(AnnéeCalendrier,4,30),1),"jjj")</f>
        <v>dim</v>
      </c>
      <c r="AG5" s="2"/>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0" t="s">
        <v>52</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COUNTA(Avril[[#This Row],[1]:[30]])</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COUNTA(Avril[[#This Row],[1]:[30]])</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COUNTA(Avril[[#This Row],[1]:[30]])</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COUNTA(Avril[[#This Row],[1]:[30]])</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COUNTA(Avril[[#This Row],[1]:[30]])</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COUNTA(Avril[[#This Row],[1]:[30]])</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COUNTA(Avril[[#This Row],[1]:[30]])</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COUNTA(Avril[[#This Row],[1]:[30]])</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COUNTA(Avril[[#This Row],[1]:[30]])</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COUNTA(Avril[[#This Row],[1]:[30]])</f>
        <v>0</v>
      </c>
    </row>
    <row r="17" spans="2:34" ht="30" customHeight="1" x14ac:dyDescent="0.25">
      <c r="B17" s="18" t="str">
        <f>NomMois&amp;" Total"</f>
        <v>Avril Total</v>
      </c>
      <c r="C17" s="11">
        <f>SUBTOTAL(103,Avril[1])</f>
        <v>0</v>
      </c>
      <c r="D17" s="11">
        <f>SUBTOTAL(103,Avril[2])</f>
        <v>0</v>
      </c>
      <c r="E17" s="11">
        <f>SUBTOTAL(103,Avril[3])</f>
        <v>0</v>
      </c>
      <c r="F17" s="11">
        <f>SUBTOTAL(103,Avril[4])</f>
        <v>0</v>
      </c>
      <c r="G17" s="11">
        <f>SUBTOTAL(103,Avril[5])</f>
        <v>0</v>
      </c>
      <c r="H17" s="11">
        <f>SUBTOTAL(103,Avril[6])</f>
        <v>0</v>
      </c>
      <c r="I17" s="11">
        <f>SUBTOTAL(103,Avril[7])</f>
        <v>0</v>
      </c>
      <c r="J17" s="11">
        <f>SUBTOTAL(103,Avril[8])</f>
        <v>0</v>
      </c>
      <c r="K17" s="11">
        <f>SUBTOTAL(103,Avril[9])</f>
        <v>0</v>
      </c>
      <c r="L17" s="11">
        <f>SUBTOTAL(103,Avril[10])</f>
        <v>0</v>
      </c>
      <c r="M17" s="11">
        <f>SUBTOTAL(103,Avril[11])</f>
        <v>0</v>
      </c>
      <c r="N17" s="11">
        <f>SUBTOTAL(103,Avril[12])</f>
        <v>0</v>
      </c>
      <c r="O17" s="11">
        <f>SUBTOTAL(103,Avril[13])</f>
        <v>0</v>
      </c>
      <c r="P17" s="11">
        <f>SUBTOTAL(103,Avril[14])</f>
        <v>0</v>
      </c>
      <c r="Q17" s="11">
        <f>SUBTOTAL(103,Avril[15])</f>
        <v>0</v>
      </c>
      <c r="R17" s="11">
        <f>SUBTOTAL(103,Avril[16])</f>
        <v>0</v>
      </c>
      <c r="S17" s="11">
        <f>SUBTOTAL(103,Avril[17])</f>
        <v>0</v>
      </c>
      <c r="T17" s="11">
        <f>SUBTOTAL(103,Avril[18])</f>
        <v>0</v>
      </c>
      <c r="U17" s="11">
        <f>SUBTOTAL(103,Avril[19])</f>
        <v>0</v>
      </c>
      <c r="V17" s="11">
        <f>SUBTOTAL(103,Avril[20])</f>
        <v>0</v>
      </c>
      <c r="W17" s="11">
        <f>SUBTOTAL(103,Avril[21])</f>
        <v>0</v>
      </c>
      <c r="X17" s="11">
        <f>SUBTOTAL(103,Avril[22])</f>
        <v>0</v>
      </c>
      <c r="Y17" s="11">
        <f>SUBTOTAL(103,Avril[23])</f>
        <v>0</v>
      </c>
      <c r="Z17" s="11">
        <f>SUBTOTAL(103,Avril[24])</f>
        <v>0</v>
      </c>
      <c r="AA17" s="11">
        <f>SUBTOTAL(103,Avril[25])</f>
        <v>0</v>
      </c>
      <c r="AB17" s="11">
        <f>SUBTOTAL(103,Avril[26])</f>
        <v>0</v>
      </c>
      <c r="AC17" s="11">
        <f>SUBTOTAL(103,Avril[27])</f>
        <v>0</v>
      </c>
      <c r="AD17" s="11">
        <f>SUBTOTAL(103,Avril[28])</f>
        <v>0</v>
      </c>
      <c r="AE17" s="11">
        <f>SUBTOTAL(103,Avril[29])</f>
        <v>0</v>
      </c>
      <c r="AF17" s="11">
        <f>SUBTOTAL(103,Avril[30])</f>
        <v>0</v>
      </c>
      <c r="AG17" s="11">
        <f>SUBTOTAL(103,Avril[30])</f>
        <v>0</v>
      </c>
      <c r="AH17" s="11">
        <f>SUBTOTAL(109,Avril[Total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716" priority="2" stopIfTrue="1">
      <formula>C7=CléPersonnalisée2</formula>
    </cfRule>
    <cfRule type="expression" dxfId="715" priority="3" stopIfTrue="1">
      <formula>C7=CléPersonnalisée1</formula>
    </cfRule>
    <cfRule type="expression" dxfId="714" priority="4" stopIfTrue="1">
      <formula>C7=CléMaladie</formula>
    </cfRule>
    <cfRule type="expression" dxfId="713" priority="5" stopIfTrue="1">
      <formula>C7=CléPersonnel</formula>
    </cfRule>
    <cfRule type="expression" dxfId="712" priority="6" stopIfTrue="1">
      <formula>C7=CléCongé</formula>
    </cfRule>
  </conditionalFormatting>
  <conditionalFormatting sqref="AH7:AH16">
    <cfRule type="dataBar" priority="298">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4">
    <dataValidation allowBlank="1" showInputMessage="1" showErrorMessage="1" prompt="Année mise à jour automatiquement en fonction de l’année entrée dans la feuille de calcul Janvier" sqref="AH4" xr:uid="{00000000-0002-0000-0300-000000000000}"/>
    <dataValidation allowBlank="1" showInputMessage="1" showErrorMessage="1" prompt="Calcule automatiquement le nombre total de jours d’absence d’un employé durant ce mois dans cette colonne" sqref="AH6" xr:uid="{00000000-0002-0000-0300-000001000000}"/>
    <dataValidation allowBlank="1" showInputMessage="1" showErrorMessage="1" prompt="Suivez les absences du mois d’avril dans cette feuille de calcul" sqref="A1" xr:uid="{00000000-0002-0000-03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300-000003000000}"/>
    <dataValidation allowBlank="1" showInputMessage="1" showErrorMessage="1" prompt="Le titre mis à jour automatiquement figure dans cette cellule. Pour modifier le titre, mettez à jour la cellule B1 de la feuille de calcul Janvier" sqref="B1" xr:uid="{00000000-0002-0000-0300-000004000000}"/>
    <dataValidation allowBlank="1" showInputMessage="1" showErrorMessage="1" prompt="La lettre « C » indique une absence pour cause de congé" sqref="C2" xr:uid="{00000000-0002-0000-0300-000005000000}"/>
    <dataValidation allowBlank="1" showInputMessage="1" showErrorMessage="1" prompt="La lettre « P » indique une absence pour motifs personnels" sqref="F2" xr:uid="{00000000-0002-0000-0300-000006000000}"/>
    <dataValidation allowBlank="1" showInputMessage="1" showErrorMessage="1" prompt="La lettre « M » indique une absence pour cause de maladie" sqref="J2" xr:uid="{00000000-0002-0000-0300-000007000000}"/>
    <dataValidation allowBlank="1" showInputMessage="1" showErrorMessage="1" prompt="Entrez une lettre et personnalisez l’étiquette à droite pour ajouter un élément de clé" sqref="M2 R2" xr:uid="{00000000-0002-0000-0300-000008000000}"/>
    <dataValidation allowBlank="1" showInputMessage="1" showErrorMessage="1" prompt="Entrez une étiquette pour décrire la clé personnalisée à gauche" sqref="N2 S2" xr:uid="{00000000-0002-0000-0300-000009000000}"/>
    <dataValidation allowBlank="1" showInputMessage="1" showErrorMessage="1" prompt="Cette ligne définit les clés utilisées dans le tableau : Congé en C2, Personnel en F2 et Congé maladie en J2. Les cellules M2 et R2 sont personnalisables" sqref="B2" xr:uid="{00000000-0002-0000-03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3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3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300-00000E000000}">
          <x14:formula1>
            <xm:f>'Noms des employés'!$B$4:$B$8</xm:f>
          </x14:formula1>
          <xm:sqref>B7:B16</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theme="2" tint="-9.9978637043366805E-2"/>
  </sheetPr>
  <dimension ref="B1:AH17"/>
  <sheetViews>
    <sheetView showGridLines="0" zoomScaleNormal="100" workbookViewId="0">
      <selection activeCell="B7" sqref="B7: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8" t="s">
        <v>12</v>
      </c>
      <c r="E2" s="28"/>
      <c r="F2" s="4" t="s">
        <v>15</v>
      </c>
      <c r="G2" s="28" t="s">
        <v>19</v>
      </c>
      <c r="H2" s="28"/>
      <c r="I2" s="28"/>
      <c r="J2" s="5" t="s">
        <v>17</v>
      </c>
      <c r="K2" s="28" t="s">
        <v>24</v>
      </c>
      <c r="L2" s="28"/>
      <c r="M2" s="6"/>
      <c r="N2" s="28" t="s">
        <v>28</v>
      </c>
      <c r="O2" s="28"/>
      <c r="P2" s="28"/>
      <c r="Q2" s="28"/>
      <c r="R2" s="7"/>
      <c r="S2" s="28" t="s">
        <v>33</v>
      </c>
      <c r="T2" s="28"/>
      <c r="U2" s="28"/>
      <c r="V2" s="28"/>
    </row>
    <row r="3" spans="2:34" ht="15" customHeight="1" x14ac:dyDescent="0.25">
      <c r="B3" s="12"/>
    </row>
    <row r="4" spans="2:34" ht="30" customHeight="1" x14ac:dyDescent="0.25">
      <c r="B4" s="10" t="s">
        <v>56</v>
      </c>
      <c r="C4" s="27" t="s">
        <v>10</v>
      </c>
      <c r="D4" s="27"/>
      <c r="E4" s="27"/>
      <c r="F4" s="27"/>
      <c r="G4" s="27"/>
      <c r="H4" s="27"/>
      <c r="I4" s="27"/>
      <c r="J4" s="27"/>
      <c r="K4" s="27"/>
      <c r="L4" s="27"/>
      <c r="M4" s="27"/>
      <c r="N4" s="27"/>
      <c r="O4" s="27"/>
      <c r="P4" s="27"/>
      <c r="Q4" s="27"/>
      <c r="R4" s="27"/>
      <c r="S4" s="27"/>
      <c r="T4" s="27"/>
      <c r="U4" s="27"/>
      <c r="V4" s="27"/>
      <c r="W4" s="27"/>
      <c r="X4" s="27"/>
      <c r="Y4" s="27"/>
      <c r="Z4" s="27"/>
      <c r="AA4" s="27"/>
      <c r="AB4" s="27"/>
      <c r="AC4" s="27"/>
      <c r="AD4" s="27"/>
      <c r="AE4" s="27"/>
      <c r="AF4" s="27"/>
      <c r="AG4" s="27"/>
      <c r="AH4" s="10">
        <f>AnnéeCalendrier</f>
        <v>2023</v>
      </c>
    </row>
    <row r="5" spans="2:34" ht="15" customHeight="1" x14ac:dyDescent="0.25">
      <c r="B5" s="10"/>
      <c r="C5" s="2" t="str">
        <f>TEXT(WEEKDAY(DATE(AnnéeCalendrier,5,1),1),"jjj")</f>
        <v>lun</v>
      </c>
      <c r="D5" s="2" t="str">
        <f>TEXT(WEEKDAY(DATE(AnnéeCalendrier,5,2),1),"jjj")</f>
        <v>mar</v>
      </c>
      <c r="E5" s="2" t="str">
        <f>TEXT(WEEKDAY(DATE(AnnéeCalendrier,5,3),1),"jjj")</f>
        <v>mer</v>
      </c>
      <c r="F5" s="2" t="str">
        <f>TEXT(WEEKDAY(DATE(AnnéeCalendrier,5,4),1),"jjj")</f>
        <v>jeu</v>
      </c>
      <c r="G5" s="2" t="str">
        <f>TEXT(WEEKDAY(DATE(AnnéeCalendrier,5,5),1),"jjj")</f>
        <v>ven</v>
      </c>
      <c r="H5" s="2" t="str">
        <f>TEXT(WEEKDAY(DATE(AnnéeCalendrier,5,6),1),"jjj")</f>
        <v>sam</v>
      </c>
      <c r="I5" s="2" t="str">
        <f>TEXT(WEEKDAY(DATE(AnnéeCalendrier,5,7),1),"jjj")</f>
        <v>dim</v>
      </c>
      <c r="J5" s="2" t="str">
        <f>TEXT(WEEKDAY(DATE(AnnéeCalendrier,5,8),1),"jjj")</f>
        <v>lun</v>
      </c>
      <c r="K5" s="2" t="str">
        <f>TEXT(WEEKDAY(DATE(AnnéeCalendrier,5,9),1),"jjj")</f>
        <v>mar</v>
      </c>
      <c r="L5" s="2" t="str">
        <f>TEXT(WEEKDAY(DATE(AnnéeCalendrier,5,10),1),"jjj")</f>
        <v>mer</v>
      </c>
      <c r="M5" s="2" t="str">
        <f>TEXT(WEEKDAY(DATE(AnnéeCalendrier,5,11),1),"jjj")</f>
        <v>jeu</v>
      </c>
      <c r="N5" s="2" t="str">
        <f>TEXT(WEEKDAY(DATE(AnnéeCalendrier,5,12),1),"jjj")</f>
        <v>ven</v>
      </c>
      <c r="O5" s="2" t="str">
        <f>TEXT(WEEKDAY(DATE(AnnéeCalendrier,5,13),1),"jjj")</f>
        <v>sam</v>
      </c>
      <c r="P5" s="2" t="str">
        <f>TEXT(WEEKDAY(DATE(AnnéeCalendrier,5,14),1),"jjj")</f>
        <v>dim</v>
      </c>
      <c r="Q5" s="2" t="str">
        <f>TEXT(WEEKDAY(DATE(AnnéeCalendrier,5,15),1),"jjj")</f>
        <v>lun</v>
      </c>
      <c r="R5" s="2" t="str">
        <f>TEXT(WEEKDAY(DATE(AnnéeCalendrier,5,16),1),"jjj")</f>
        <v>mar</v>
      </c>
      <c r="S5" s="2" t="str">
        <f>TEXT(WEEKDAY(DATE(AnnéeCalendrier,5,17),1),"jjj")</f>
        <v>mer</v>
      </c>
      <c r="T5" s="2" t="str">
        <f>TEXT(WEEKDAY(DATE(AnnéeCalendrier,5,18),1),"jjj")</f>
        <v>jeu</v>
      </c>
      <c r="U5" s="2" t="str">
        <f>TEXT(WEEKDAY(DATE(AnnéeCalendrier,5,19),1),"jjj")</f>
        <v>ven</v>
      </c>
      <c r="V5" s="2" t="str">
        <f>TEXT(WEEKDAY(DATE(AnnéeCalendrier,5,20),1),"jjj")</f>
        <v>sam</v>
      </c>
      <c r="W5" s="2" t="str">
        <f>TEXT(WEEKDAY(DATE(AnnéeCalendrier,5,21),1),"jjj")</f>
        <v>dim</v>
      </c>
      <c r="X5" s="2" t="str">
        <f>TEXT(WEEKDAY(DATE(AnnéeCalendrier,5,22),1),"jjj")</f>
        <v>lun</v>
      </c>
      <c r="Y5" s="2" t="str">
        <f>TEXT(WEEKDAY(DATE(AnnéeCalendrier,5,23),1),"jjj")</f>
        <v>mar</v>
      </c>
      <c r="Z5" s="2" t="str">
        <f>TEXT(WEEKDAY(DATE(AnnéeCalendrier,5,24),1),"jjj")</f>
        <v>mer</v>
      </c>
      <c r="AA5" s="2" t="str">
        <f>TEXT(WEEKDAY(DATE(AnnéeCalendrier,5,25),1),"jjj")</f>
        <v>jeu</v>
      </c>
      <c r="AB5" s="2" t="str">
        <f>TEXT(WEEKDAY(DATE(AnnéeCalendrier,5,26),1),"jjj")</f>
        <v>ven</v>
      </c>
      <c r="AC5" s="2" t="str">
        <f>TEXT(WEEKDAY(DATE(AnnéeCalendrier,5,27),1),"jjj")</f>
        <v>sam</v>
      </c>
      <c r="AD5" s="2" t="str">
        <f>TEXT(WEEKDAY(DATE(AnnéeCalendrier,5,28),1),"jjj")</f>
        <v>dim</v>
      </c>
      <c r="AE5" s="2" t="str">
        <f>TEXT(WEEKDAY(DATE(AnnéeCalendrier,5,29),1),"jjj")</f>
        <v>lun</v>
      </c>
      <c r="AF5" s="2" t="str">
        <f>TEXT(WEEKDAY(DATE(AnnéeCalendrier,5,30),1),"jjj")</f>
        <v>mar</v>
      </c>
      <c r="AG5" s="2" t="str">
        <f>TEXT(WEEKDAY(DATE(AnnéeCalendrier,5,31),1),"jjj")</f>
        <v>mer</v>
      </c>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COUNTA(Mai[[#This Row],[1]:[31]])</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COUNTA(Mai[[#This Row],[1]:[31]])</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COUNTA(Mai[[#This Row],[1]:[31]])</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COUNTA(Mai[[#This Row],[1]:[31]])</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COUNTA(Mai[[#This Row],[1]:[31]])</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COUNTA(Mai[[#This Row],[1]:[31]])</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COUNTA(Mai[[#This Row],[1]:[31]])</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COUNTA(Mai[[#This Row],[1]:[31]])</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COUNTA(Mai[[#This Row],[1]:[31]])</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COUNTA(Mai[[#This Row],[1]:[31]])</f>
        <v>0</v>
      </c>
    </row>
    <row r="17" spans="2:34" ht="30" customHeight="1" x14ac:dyDescent="0.25">
      <c r="B17" s="18" t="str">
        <f>NomMois&amp;" Total"</f>
        <v>Mai Total</v>
      </c>
      <c r="C17" s="11">
        <f>SUBTOTAL(103,Mai[1])</f>
        <v>0</v>
      </c>
      <c r="D17" s="11">
        <f>SUBTOTAL(103,Mai[2])</f>
        <v>0</v>
      </c>
      <c r="E17" s="11">
        <f>SUBTOTAL(103,Mai[3])</f>
        <v>0</v>
      </c>
      <c r="F17" s="11">
        <f>SUBTOTAL(103,Mai[4])</f>
        <v>0</v>
      </c>
      <c r="G17" s="11">
        <f>SUBTOTAL(103,Mai[5])</f>
        <v>0</v>
      </c>
      <c r="H17" s="11">
        <f>SUBTOTAL(103,Mai[6])</f>
        <v>0</v>
      </c>
      <c r="I17" s="11">
        <f>SUBTOTAL(103,Mai[7])</f>
        <v>0</v>
      </c>
      <c r="J17" s="11">
        <f>SUBTOTAL(103,Mai[8])</f>
        <v>0</v>
      </c>
      <c r="K17" s="11">
        <f>SUBTOTAL(103,Mai[9])</f>
        <v>0</v>
      </c>
      <c r="L17" s="11">
        <f>SUBTOTAL(103,Mai[10])</f>
        <v>0</v>
      </c>
      <c r="M17" s="11">
        <f>SUBTOTAL(103,Mai[11])</f>
        <v>0</v>
      </c>
      <c r="N17" s="11">
        <f>SUBTOTAL(103,Mai[12])</f>
        <v>0</v>
      </c>
      <c r="O17" s="11">
        <f>SUBTOTAL(103,Mai[13])</f>
        <v>0</v>
      </c>
      <c r="P17" s="11">
        <f>SUBTOTAL(103,Mai[14])</f>
        <v>0</v>
      </c>
      <c r="Q17" s="11">
        <f>SUBTOTAL(103,Mai[15])</f>
        <v>0</v>
      </c>
      <c r="R17" s="11">
        <f>SUBTOTAL(103,Mai[16])</f>
        <v>0</v>
      </c>
      <c r="S17" s="11">
        <f>SUBTOTAL(103,Mai[17])</f>
        <v>0</v>
      </c>
      <c r="T17" s="11">
        <f>SUBTOTAL(103,Mai[18])</f>
        <v>0</v>
      </c>
      <c r="U17" s="11">
        <f>SUBTOTAL(103,Mai[19])</f>
        <v>0</v>
      </c>
      <c r="V17" s="11">
        <f>SUBTOTAL(103,Mai[20])</f>
        <v>0</v>
      </c>
      <c r="W17" s="11">
        <f>SUBTOTAL(103,Mai[21])</f>
        <v>0</v>
      </c>
      <c r="X17" s="11">
        <f>SUBTOTAL(103,Mai[22])</f>
        <v>0</v>
      </c>
      <c r="Y17" s="11">
        <f>SUBTOTAL(103,Mai[23])</f>
        <v>0</v>
      </c>
      <c r="Z17" s="11">
        <f>SUBTOTAL(103,Mai[24])</f>
        <v>0</v>
      </c>
      <c r="AA17" s="11">
        <f>SUBTOTAL(103,Mai[25])</f>
        <v>0</v>
      </c>
      <c r="AB17" s="11">
        <f>SUBTOTAL(103,Mai[26])</f>
        <v>0</v>
      </c>
      <c r="AC17" s="11">
        <f>SUBTOTAL(103,Mai[27])</f>
        <v>0</v>
      </c>
      <c r="AD17" s="11">
        <f>SUBTOTAL(103,Mai[28])</f>
        <v>0</v>
      </c>
      <c r="AE17" s="11">
        <f>SUBTOTAL(103,Mai[29])</f>
        <v>0</v>
      </c>
      <c r="AF17" s="11">
        <f>SUBTOTAL(103,Mai[30])</f>
        <v>0</v>
      </c>
      <c r="AG17" s="11">
        <f>SUBTOTAL(103,Mai[31])</f>
        <v>0</v>
      </c>
      <c r="AH17" s="11">
        <f>SUBTOTAL(109,Mai[Total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642" priority="2" stopIfTrue="1">
      <formula>C7=CléPersonnalisée2</formula>
    </cfRule>
    <cfRule type="expression" dxfId="641" priority="3" stopIfTrue="1">
      <formula>C7=CléPersonnalisée1</formula>
    </cfRule>
    <cfRule type="expression" dxfId="640" priority="4" stopIfTrue="1">
      <formula>C7=CléMaladie</formula>
    </cfRule>
    <cfRule type="expression" dxfId="639" priority="5" stopIfTrue="1">
      <formula>C7=CléPersonnel</formula>
    </cfRule>
    <cfRule type="expression" dxfId="638"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400-000001000000}"/>
    <dataValidation allowBlank="1" showInputMessage="1" showErrorMessage="1" prompt="Cette ligne définit les clés utilisées dans le tableau : Congé en C2, Personnel en F2 et Congé maladie en J2. Les cellules M2 et R2 sont personnalisables" sqref="B2" xr:uid="{00000000-0002-0000-0400-000002000000}"/>
    <dataValidation allowBlank="1" showInputMessage="1" showErrorMessage="1" prompt="Entrez une étiquette pour décrire la clé personnalisée à gauche" sqref="N2 S2" xr:uid="{00000000-0002-0000-0400-000003000000}"/>
    <dataValidation allowBlank="1" showInputMessage="1" showErrorMessage="1" prompt="Entrez une lettre et personnalisez l’étiquette à droite pour ajouter un élément de clé" sqref="M2 R2" xr:uid="{00000000-0002-0000-0400-000004000000}"/>
    <dataValidation allowBlank="1" showInputMessage="1" showErrorMessage="1" prompt="La lettre « M » indique une absence pour cause de maladie" sqref="J2" xr:uid="{00000000-0002-0000-0400-000005000000}"/>
    <dataValidation allowBlank="1" showInputMessage="1" showErrorMessage="1" prompt="La lettre « P » indique une absence pour motifs personnels" sqref="F2" xr:uid="{00000000-0002-0000-0400-000006000000}"/>
    <dataValidation allowBlank="1" showInputMessage="1" showErrorMessage="1" prompt="La lettre « C » indique une absence pour cause de congé" sqref="C2" xr:uid="{00000000-0002-0000-0400-000007000000}"/>
    <dataValidation allowBlank="1" showInputMessage="1" showErrorMessage="1" prompt="Le titre mis à jour automatiquement figure dans cette cellule. Pour modifier le titre, mettez à jour la cellule B1 de la feuille de calcul Janvier" sqref="B1" xr:uid="{00000000-0002-0000-04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400-000009000000}"/>
    <dataValidation allowBlank="1" showInputMessage="1" showErrorMessage="1" prompt="Suivez les absences du mois de mai dans cette feuille de calcul" sqref="A1" xr:uid="{00000000-0002-0000-0400-00000A000000}"/>
    <dataValidation allowBlank="1" showInputMessage="1" showErrorMessage="1" prompt="Calcule automatiquement le nombre total de jours d’absence d’un employé durant ce mois dans cette colonne" sqref="AH6" xr:uid="{00000000-0002-0000-0400-00000B000000}"/>
    <dataValidation allowBlank="1" showInputMessage="1" showErrorMessage="1" prompt="Année mise à jour automatiquement en fonction de l’année entrée dans la feuille de calcul Janvier" sqref="AH4" xr:uid="{00000000-0002-0000-04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4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E000000}">
          <x14:formula1>
            <xm:f>'Noms des employés'!$B$4:$B$8</xm:f>
          </x14:formula1>
          <xm:sqref>B7:B16</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theme="2"/>
  </sheetPr>
  <dimension ref="B1:AH17"/>
  <sheetViews>
    <sheetView showGridLines="0" zoomScaleNormal="100" workbookViewId="0">
      <selection activeCell="B7" sqref="B7: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8" t="s">
        <v>12</v>
      </c>
      <c r="E2" s="28"/>
      <c r="F2" s="4" t="s">
        <v>15</v>
      </c>
      <c r="G2" s="28" t="s">
        <v>19</v>
      </c>
      <c r="H2" s="28"/>
      <c r="I2" s="28"/>
      <c r="J2" s="5" t="s">
        <v>17</v>
      </c>
      <c r="K2" s="28" t="s">
        <v>24</v>
      </c>
      <c r="L2" s="28"/>
      <c r="M2" s="6"/>
      <c r="N2" s="28" t="s">
        <v>28</v>
      </c>
      <c r="O2" s="28"/>
      <c r="P2" s="28"/>
      <c r="Q2" s="28"/>
      <c r="R2" s="7"/>
      <c r="S2" s="28" t="s">
        <v>33</v>
      </c>
      <c r="T2" s="28"/>
      <c r="U2" s="28"/>
      <c r="V2" s="28"/>
    </row>
    <row r="3" spans="2:34" ht="15" customHeight="1" x14ac:dyDescent="0.25">
      <c r="B3" s="12"/>
    </row>
    <row r="4" spans="2:34" ht="30" customHeight="1" x14ac:dyDescent="0.25">
      <c r="B4" s="10" t="s">
        <v>57</v>
      </c>
      <c r="C4" s="27" t="s">
        <v>10</v>
      </c>
      <c r="D4" s="27"/>
      <c r="E4" s="27"/>
      <c r="F4" s="27"/>
      <c r="G4" s="27"/>
      <c r="H4" s="27"/>
      <c r="I4" s="27"/>
      <c r="J4" s="27"/>
      <c r="K4" s="27"/>
      <c r="L4" s="27"/>
      <c r="M4" s="27"/>
      <c r="N4" s="27"/>
      <c r="O4" s="27"/>
      <c r="P4" s="27"/>
      <c r="Q4" s="27"/>
      <c r="R4" s="27"/>
      <c r="S4" s="27"/>
      <c r="T4" s="27"/>
      <c r="U4" s="27"/>
      <c r="V4" s="27"/>
      <c r="W4" s="27"/>
      <c r="X4" s="27"/>
      <c r="Y4" s="27"/>
      <c r="Z4" s="27"/>
      <c r="AA4" s="27"/>
      <c r="AB4" s="27"/>
      <c r="AC4" s="27"/>
      <c r="AD4" s="27"/>
      <c r="AE4" s="27"/>
      <c r="AF4" s="27"/>
      <c r="AG4" s="27"/>
      <c r="AH4" s="10">
        <f>AnnéeCalendrier</f>
        <v>2023</v>
      </c>
    </row>
    <row r="5" spans="2:34" ht="15" customHeight="1" x14ac:dyDescent="0.25">
      <c r="B5" s="10"/>
      <c r="C5" s="2" t="str">
        <f>TEXT(WEEKDAY(DATE(AnnéeCalendrier,6,1),1),"jjj")</f>
        <v>jeu</v>
      </c>
      <c r="D5" s="2" t="str">
        <f>TEXT(WEEKDAY(DATE(AnnéeCalendrier,6,2),1),"jjj")</f>
        <v>ven</v>
      </c>
      <c r="E5" s="2" t="str">
        <f>TEXT(WEEKDAY(DATE(AnnéeCalendrier,6,3),1),"jjj")</f>
        <v>sam</v>
      </c>
      <c r="F5" s="2" t="str">
        <f>TEXT(WEEKDAY(DATE(AnnéeCalendrier,6,4),1),"jjj")</f>
        <v>dim</v>
      </c>
      <c r="G5" s="2" t="str">
        <f>TEXT(WEEKDAY(DATE(AnnéeCalendrier,6,5),1),"jjj")</f>
        <v>lun</v>
      </c>
      <c r="H5" s="2" t="str">
        <f>TEXT(WEEKDAY(DATE(AnnéeCalendrier,6,6),1),"jjj")</f>
        <v>mar</v>
      </c>
      <c r="I5" s="2" t="str">
        <f>TEXT(WEEKDAY(DATE(AnnéeCalendrier,6,7),1),"jjj")</f>
        <v>mer</v>
      </c>
      <c r="J5" s="2" t="str">
        <f>TEXT(WEEKDAY(DATE(AnnéeCalendrier,6,8),1),"jjj")</f>
        <v>jeu</v>
      </c>
      <c r="K5" s="2" t="str">
        <f>TEXT(WEEKDAY(DATE(AnnéeCalendrier,6,9),1),"jjj")</f>
        <v>ven</v>
      </c>
      <c r="L5" s="2" t="str">
        <f>TEXT(WEEKDAY(DATE(AnnéeCalendrier,6,10),1),"jjj")</f>
        <v>sam</v>
      </c>
      <c r="M5" s="2" t="str">
        <f>TEXT(WEEKDAY(DATE(AnnéeCalendrier,6,11),1),"jjj")</f>
        <v>dim</v>
      </c>
      <c r="N5" s="2" t="str">
        <f>TEXT(WEEKDAY(DATE(AnnéeCalendrier,6,12),1),"jjj")</f>
        <v>lun</v>
      </c>
      <c r="O5" s="2" t="str">
        <f>TEXT(WEEKDAY(DATE(AnnéeCalendrier,6,13),1),"jjj")</f>
        <v>mar</v>
      </c>
      <c r="P5" s="2" t="str">
        <f>TEXT(WEEKDAY(DATE(AnnéeCalendrier,6,14),1),"jjj")</f>
        <v>mer</v>
      </c>
      <c r="Q5" s="2" t="str">
        <f>TEXT(WEEKDAY(DATE(AnnéeCalendrier,6,15),1),"jjj")</f>
        <v>jeu</v>
      </c>
      <c r="R5" s="2" t="str">
        <f>TEXT(WEEKDAY(DATE(AnnéeCalendrier,6,16),1),"jjj")</f>
        <v>ven</v>
      </c>
      <c r="S5" s="2" t="str">
        <f>TEXT(WEEKDAY(DATE(AnnéeCalendrier,6,17),1),"jjj")</f>
        <v>sam</v>
      </c>
      <c r="T5" s="2" t="str">
        <f>TEXT(WEEKDAY(DATE(AnnéeCalendrier,6,18),1),"jjj")</f>
        <v>dim</v>
      </c>
      <c r="U5" s="2" t="str">
        <f>TEXT(WEEKDAY(DATE(AnnéeCalendrier,6,19),1),"jjj")</f>
        <v>lun</v>
      </c>
      <c r="V5" s="2" t="str">
        <f>TEXT(WEEKDAY(DATE(AnnéeCalendrier,6,20),1),"jjj")</f>
        <v>mar</v>
      </c>
      <c r="W5" s="2" t="str">
        <f>TEXT(WEEKDAY(DATE(AnnéeCalendrier,6,21),1),"jjj")</f>
        <v>mer</v>
      </c>
      <c r="X5" s="2" t="str">
        <f>TEXT(WEEKDAY(DATE(AnnéeCalendrier,6,22),1),"jjj")</f>
        <v>jeu</v>
      </c>
      <c r="Y5" s="2" t="str">
        <f>TEXT(WEEKDAY(DATE(AnnéeCalendrier,6,23),1),"jjj")</f>
        <v>ven</v>
      </c>
      <c r="Z5" s="2" t="str">
        <f>TEXT(WEEKDAY(DATE(AnnéeCalendrier,6,24),1),"jjj")</f>
        <v>sam</v>
      </c>
      <c r="AA5" s="2" t="str">
        <f>TEXT(WEEKDAY(DATE(AnnéeCalendrier,6,25),1),"jjj")</f>
        <v>dim</v>
      </c>
      <c r="AB5" s="2" t="str">
        <f>TEXT(WEEKDAY(DATE(AnnéeCalendrier,6,26),1),"jjj")</f>
        <v>lun</v>
      </c>
      <c r="AC5" s="2" t="str">
        <f>TEXT(WEEKDAY(DATE(AnnéeCalendrier,6,27),1),"jjj")</f>
        <v>mar</v>
      </c>
      <c r="AD5" s="2" t="str">
        <f>TEXT(WEEKDAY(DATE(AnnéeCalendrier,6,28),1),"jjj")</f>
        <v>mer</v>
      </c>
      <c r="AE5" s="2" t="str">
        <f>TEXT(WEEKDAY(DATE(AnnéeCalendrier,6,29),1),"jjj")</f>
        <v>jeu</v>
      </c>
      <c r="AF5" s="2" t="str">
        <f>TEXT(WEEKDAY(DATE(AnnéeCalendrier,6,30),1),"jjj")</f>
        <v>ven</v>
      </c>
      <c r="AG5" s="2"/>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52</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COUNTA(Juin[[#This Row],[1]:[30]])</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COUNTA(Juin[[#This Row],[1]:[30]])</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COUNTA(Juin[[#This Row],[1]:[30]])</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COUNTA(Juin[[#This Row],[1]:[30]])</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COUNTA(Juin[[#This Row],[1]:[30]])</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COUNTA(Juin[[#This Row],[1]:[30]])</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COUNTA(Juin[[#This Row],[1]:[30]])</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COUNTA(Juin[[#This Row],[1]:[30]])</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COUNTA(Juin[[#This Row],[1]:[30]])</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COUNTA(Juin[[#This Row],[1]:[30]])</f>
        <v>0</v>
      </c>
    </row>
    <row r="17" spans="2:34" ht="30" customHeight="1" x14ac:dyDescent="0.25">
      <c r="B17" s="18" t="str">
        <f>NomMois&amp;" Total"</f>
        <v>Juin Total</v>
      </c>
      <c r="C17" s="11">
        <f>SUBTOTAL(103,Juin[1])</f>
        <v>0</v>
      </c>
      <c r="D17" s="11">
        <f>SUBTOTAL(103,Juin[2])</f>
        <v>0</v>
      </c>
      <c r="E17" s="11">
        <f>SUBTOTAL(103,Juin[3])</f>
        <v>0</v>
      </c>
      <c r="F17" s="11">
        <f>SUBTOTAL(103,Juin[4])</f>
        <v>0</v>
      </c>
      <c r="G17" s="11">
        <f>SUBTOTAL(103,Juin[5])</f>
        <v>0</v>
      </c>
      <c r="H17" s="11">
        <f>SUBTOTAL(103,Juin[6])</f>
        <v>0</v>
      </c>
      <c r="I17" s="11">
        <f>SUBTOTAL(103,Juin[7])</f>
        <v>0</v>
      </c>
      <c r="J17" s="11">
        <f>SUBTOTAL(103,Juin[8])</f>
        <v>0</v>
      </c>
      <c r="K17" s="11">
        <f>SUBTOTAL(103,Juin[9])</f>
        <v>0</v>
      </c>
      <c r="L17" s="11">
        <f>SUBTOTAL(103,Juin[10])</f>
        <v>0</v>
      </c>
      <c r="M17" s="11">
        <f>SUBTOTAL(103,Juin[11])</f>
        <v>0</v>
      </c>
      <c r="N17" s="11">
        <f>SUBTOTAL(103,Juin[12])</f>
        <v>0</v>
      </c>
      <c r="O17" s="11">
        <f>SUBTOTAL(103,Juin[13])</f>
        <v>0</v>
      </c>
      <c r="P17" s="11">
        <f>SUBTOTAL(103,Juin[14])</f>
        <v>0</v>
      </c>
      <c r="Q17" s="11">
        <f>SUBTOTAL(103,Juin[15])</f>
        <v>0</v>
      </c>
      <c r="R17" s="11">
        <f>SUBTOTAL(103,Juin[16])</f>
        <v>0</v>
      </c>
      <c r="S17" s="11">
        <f>SUBTOTAL(103,Juin[17])</f>
        <v>0</v>
      </c>
      <c r="T17" s="11">
        <f>SUBTOTAL(103,Juin[18])</f>
        <v>0</v>
      </c>
      <c r="U17" s="11">
        <f>SUBTOTAL(103,Juin[19])</f>
        <v>0</v>
      </c>
      <c r="V17" s="11">
        <f>SUBTOTAL(103,Juin[20])</f>
        <v>0</v>
      </c>
      <c r="W17" s="11">
        <f>SUBTOTAL(103,Juin[21])</f>
        <v>0</v>
      </c>
      <c r="X17" s="11">
        <f>SUBTOTAL(103,Juin[22])</f>
        <v>0</v>
      </c>
      <c r="Y17" s="11">
        <f>SUBTOTAL(103,Juin[23])</f>
        <v>0</v>
      </c>
      <c r="Z17" s="11">
        <f>SUBTOTAL(103,Juin[24])</f>
        <v>0</v>
      </c>
      <c r="AA17" s="11">
        <f>SUBTOTAL(103,Juin[25])</f>
        <v>0</v>
      </c>
      <c r="AB17" s="11">
        <f>SUBTOTAL(103,Juin[26])</f>
        <v>0</v>
      </c>
      <c r="AC17" s="11">
        <f>SUBTOTAL(103,Juin[27])</f>
        <v>0</v>
      </c>
      <c r="AD17" s="11">
        <f>SUBTOTAL(103,Juin[28])</f>
        <v>0</v>
      </c>
      <c r="AE17" s="11">
        <f>SUBTOTAL(103,Juin[29])</f>
        <v>0</v>
      </c>
      <c r="AF17" s="11">
        <f>SUBTOTAL(103,Juin[30])</f>
        <v>0</v>
      </c>
      <c r="AG17" s="11">
        <f>SUBTOTAL(103,Juin[[ ]])</f>
        <v>0</v>
      </c>
      <c r="AH17" s="11">
        <f>SUBTOTAL(109,Juin[Total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568" priority="2" stopIfTrue="1">
      <formula>C7=CléPersonnalisée2</formula>
    </cfRule>
    <cfRule type="expression" dxfId="567" priority="3" stopIfTrue="1">
      <formula>C7=CléPersonnalisée1</formula>
    </cfRule>
    <cfRule type="expression" dxfId="566" priority="4" stopIfTrue="1">
      <formula>C7=CléMaladie</formula>
    </cfRule>
    <cfRule type="expression" dxfId="565" priority="5" stopIfTrue="1">
      <formula>C7=CléPersonnel</formula>
    </cfRule>
    <cfRule type="expression" dxfId="564"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Année mise à jour automatiquement en fonction de l’année entrée dans la feuille de calcul Janvier" sqref="AH4" xr:uid="{00000000-0002-0000-0500-000001000000}"/>
    <dataValidation allowBlank="1" showInputMessage="1" showErrorMessage="1" prompt="Calcule automatiquement le nombre total de jours d’absence d’un employé durant ce mois dans cette colonne" sqref="AH6" xr:uid="{00000000-0002-0000-0500-000002000000}"/>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500-000004000000}"/>
    <dataValidation allowBlank="1" showInputMessage="1" showErrorMessage="1" prompt="Le titre mis à jour automatiquement figure dans cette cellule. Pour modifier le titre, mettez à jour la cellule B1 de la feuille de calcul Janvier" sqref="B1" xr:uid="{00000000-0002-0000-0500-000005000000}"/>
    <dataValidation allowBlank="1" showInputMessage="1" showErrorMessage="1" prompt="La lettre « C » indique une absence pour cause de congé" sqref="C2" xr:uid="{00000000-0002-0000-0500-000006000000}"/>
    <dataValidation allowBlank="1" showInputMessage="1" showErrorMessage="1" prompt="La lettre « P » indique une absence pour motifs personnels" sqref="F2" xr:uid="{00000000-0002-0000-0500-000007000000}"/>
    <dataValidation allowBlank="1" showInputMessage="1" showErrorMessage="1" prompt="La lettre « M » indique une absence pour cause de maladie" sqref="J2" xr:uid="{00000000-0002-0000-0500-000008000000}"/>
    <dataValidation allowBlank="1" showInputMessage="1" showErrorMessage="1" prompt="Entrez une lettre et personnalisez l’étiquette à droite pour ajouter un élément de clé" sqref="M2 R2" xr:uid="{00000000-0002-0000-0500-000009000000}"/>
    <dataValidation allowBlank="1" showInputMessage="1" showErrorMessage="1" prompt="Entrez une étiquette pour décrire la clé personnalisée à gauche" sqref="N2 S2" xr:uid="{00000000-0002-0000-0500-00000A000000}"/>
    <dataValidation allowBlank="1" showInputMessage="1" showErrorMessage="1" prompt="Cette ligne définit les clés utilisées dans le tableau : Congé en C2, Personnel en F2 et Congé maladie en J2. Les cellules M2 et R2 sont personnalisables" sqref="B2" xr:uid="{00000000-0002-0000-05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5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'Noms des employés'!$B$4:$B$8</xm:f>
          </x14:formula1>
          <xm:sqref>B7:B16</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1"/>
  </sheetPr>
  <dimension ref="B1:AH17"/>
  <sheetViews>
    <sheetView showGridLines="0" zoomScaleNormal="100" workbookViewId="0">
      <selection activeCell="B10" sqref="B10: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8" t="s">
        <v>12</v>
      </c>
      <c r="E2" s="28"/>
      <c r="F2" s="4" t="s">
        <v>15</v>
      </c>
      <c r="G2" s="28" t="s">
        <v>19</v>
      </c>
      <c r="H2" s="28"/>
      <c r="I2" s="28"/>
      <c r="J2" s="5" t="s">
        <v>17</v>
      </c>
      <c r="K2" s="28" t="s">
        <v>24</v>
      </c>
      <c r="L2" s="28"/>
      <c r="M2" s="6"/>
      <c r="N2" s="28" t="s">
        <v>28</v>
      </c>
      <c r="O2" s="28"/>
      <c r="P2" s="28"/>
      <c r="Q2" s="28"/>
      <c r="R2" s="7"/>
      <c r="S2" s="28" t="s">
        <v>33</v>
      </c>
      <c r="T2" s="28"/>
      <c r="U2" s="28"/>
      <c r="V2" s="28"/>
    </row>
    <row r="3" spans="2:34" ht="15" customHeight="1" x14ac:dyDescent="0.25">
      <c r="B3" s="12"/>
    </row>
    <row r="4" spans="2:34" ht="30" customHeight="1" x14ac:dyDescent="0.25">
      <c r="B4" s="10" t="s">
        <v>58</v>
      </c>
      <c r="C4" s="27" t="s">
        <v>10</v>
      </c>
      <c r="D4" s="27"/>
      <c r="E4" s="27"/>
      <c r="F4" s="27"/>
      <c r="G4" s="27"/>
      <c r="H4" s="27"/>
      <c r="I4" s="27"/>
      <c r="J4" s="27"/>
      <c r="K4" s="27"/>
      <c r="L4" s="27"/>
      <c r="M4" s="27"/>
      <c r="N4" s="27"/>
      <c r="O4" s="27"/>
      <c r="P4" s="27"/>
      <c r="Q4" s="27"/>
      <c r="R4" s="27"/>
      <c r="S4" s="27"/>
      <c r="T4" s="27"/>
      <c r="U4" s="27"/>
      <c r="V4" s="27"/>
      <c r="W4" s="27"/>
      <c r="X4" s="27"/>
      <c r="Y4" s="27"/>
      <c r="Z4" s="27"/>
      <c r="AA4" s="27"/>
      <c r="AB4" s="27"/>
      <c r="AC4" s="27"/>
      <c r="AD4" s="27"/>
      <c r="AE4" s="27"/>
      <c r="AF4" s="27"/>
      <c r="AG4" s="27"/>
      <c r="AH4" s="10">
        <f>AnnéeCalendrier</f>
        <v>2023</v>
      </c>
    </row>
    <row r="5" spans="2:34" ht="15" customHeight="1" x14ac:dyDescent="0.25">
      <c r="B5" s="10"/>
      <c r="C5" s="2" t="str">
        <f>TEXT(WEEKDAY(DATE(AnnéeCalendrier,7,1),1),"jjj")</f>
        <v>sam</v>
      </c>
      <c r="D5" s="2" t="str">
        <f>TEXT(WEEKDAY(DATE(AnnéeCalendrier,7,2),1),"jjj")</f>
        <v>dim</v>
      </c>
      <c r="E5" s="2" t="str">
        <f>TEXT(WEEKDAY(DATE(AnnéeCalendrier,7,3),1),"jjj")</f>
        <v>lun</v>
      </c>
      <c r="F5" s="2" t="str">
        <f>TEXT(WEEKDAY(DATE(AnnéeCalendrier,7,4),1),"jjj")</f>
        <v>mar</v>
      </c>
      <c r="G5" s="2" t="str">
        <f>TEXT(WEEKDAY(DATE(AnnéeCalendrier,7,5),1),"jjj")</f>
        <v>mer</v>
      </c>
      <c r="H5" s="2" t="str">
        <f>TEXT(WEEKDAY(DATE(AnnéeCalendrier,7,6),1),"jjj")</f>
        <v>jeu</v>
      </c>
      <c r="I5" s="2" t="str">
        <f>TEXT(WEEKDAY(DATE(AnnéeCalendrier,7,7),1),"jjj")</f>
        <v>ven</v>
      </c>
      <c r="J5" s="2" t="str">
        <f>TEXT(WEEKDAY(DATE(AnnéeCalendrier,7,8),1),"jjj")</f>
        <v>sam</v>
      </c>
      <c r="K5" s="2" t="str">
        <f>TEXT(WEEKDAY(DATE(AnnéeCalendrier,7,9),1),"jjj")</f>
        <v>dim</v>
      </c>
      <c r="L5" s="2" t="str">
        <f>TEXT(WEEKDAY(DATE(AnnéeCalendrier,7,10),1),"jjj")</f>
        <v>lun</v>
      </c>
      <c r="M5" s="2" t="str">
        <f>TEXT(WEEKDAY(DATE(AnnéeCalendrier,7,11),1),"jjj")</f>
        <v>mar</v>
      </c>
      <c r="N5" s="2" t="str">
        <f>TEXT(WEEKDAY(DATE(AnnéeCalendrier,7,12),1),"jjj")</f>
        <v>mer</v>
      </c>
      <c r="O5" s="2" t="str">
        <f>TEXT(WEEKDAY(DATE(AnnéeCalendrier,7,13),1),"jjj")</f>
        <v>jeu</v>
      </c>
      <c r="P5" s="2" t="str">
        <f>TEXT(WEEKDAY(DATE(AnnéeCalendrier,7,14),1),"jjj")</f>
        <v>ven</v>
      </c>
      <c r="Q5" s="2" t="str">
        <f>TEXT(WEEKDAY(DATE(AnnéeCalendrier,7,15),1),"jjj")</f>
        <v>sam</v>
      </c>
      <c r="R5" s="2" t="str">
        <f>TEXT(WEEKDAY(DATE(AnnéeCalendrier,7,16),1),"jjj")</f>
        <v>dim</v>
      </c>
      <c r="S5" s="2" t="str">
        <f>TEXT(WEEKDAY(DATE(AnnéeCalendrier,7,17),1),"jjj")</f>
        <v>lun</v>
      </c>
      <c r="T5" s="2" t="str">
        <f>TEXT(WEEKDAY(DATE(AnnéeCalendrier,7,18),1),"jjj")</f>
        <v>mar</v>
      </c>
      <c r="U5" s="2" t="str">
        <f>TEXT(WEEKDAY(DATE(AnnéeCalendrier,7,19),1),"jjj")</f>
        <v>mer</v>
      </c>
      <c r="V5" s="2" t="str">
        <f>TEXT(WEEKDAY(DATE(AnnéeCalendrier,7,20),1),"jjj")</f>
        <v>jeu</v>
      </c>
      <c r="W5" s="2" t="str">
        <f>TEXT(WEEKDAY(DATE(AnnéeCalendrier,7,21),1),"jjj")</f>
        <v>ven</v>
      </c>
      <c r="X5" s="2" t="str">
        <f>TEXT(WEEKDAY(DATE(AnnéeCalendrier,7,22),1),"jjj")</f>
        <v>sam</v>
      </c>
      <c r="Y5" s="2" t="str">
        <f>TEXT(WEEKDAY(DATE(AnnéeCalendrier,7,23),1),"jjj")</f>
        <v>dim</v>
      </c>
      <c r="Z5" s="2" t="str">
        <f>TEXT(WEEKDAY(DATE(AnnéeCalendrier,7,24),1),"jjj")</f>
        <v>lun</v>
      </c>
      <c r="AA5" s="2" t="str">
        <f>TEXT(WEEKDAY(DATE(AnnéeCalendrier,7,25),1),"jjj")</f>
        <v>mar</v>
      </c>
      <c r="AB5" s="2" t="str">
        <f>TEXT(WEEKDAY(DATE(AnnéeCalendrier,7,26),1),"jjj")</f>
        <v>mer</v>
      </c>
      <c r="AC5" s="2" t="str">
        <f>TEXT(WEEKDAY(DATE(AnnéeCalendrier,7,27),1),"jjj")</f>
        <v>jeu</v>
      </c>
      <c r="AD5" s="2" t="str">
        <f>TEXT(WEEKDAY(DATE(AnnéeCalendrier,7,28),1),"jjj")</f>
        <v>ven</v>
      </c>
      <c r="AE5" s="2" t="str">
        <f>TEXT(WEEKDAY(DATE(AnnéeCalendrier,7,29),1),"jjj")</f>
        <v>sam</v>
      </c>
      <c r="AF5" s="2" t="str">
        <f>TEXT(WEEKDAY(DATE(AnnéeCalendrier,7,30),1),"jjj")</f>
        <v>dim</v>
      </c>
      <c r="AG5" s="2" t="str">
        <f>TEXT(WEEKDAY(DATE(AnnéeCalendrier,7,31),1),"jjj")</f>
        <v>lun</v>
      </c>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COUNTA(Juillet[[#This Row],[1]:[31]])</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COUNTA(Juillet[[#This Row],[1]:[31]])</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COUNTA(Juillet[[#This Row],[1]:[31]])</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COUNTA(Juillet[[#This Row],[1]:[31]])</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COUNTA(Juillet[[#This Row],[1]:[31]])</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COUNTA(Juillet[[#This Row],[1]:[31]])</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COUNTA(Juillet[[#This Row],[1]:[31]])</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COUNTA(Juillet[[#This Row],[1]:[31]])</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COUNTA(Juillet[[#This Row],[1]:[31]])</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COUNTA(Juillet[[#This Row],[1]:[31]])</f>
        <v>0</v>
      </c>
    </row>
    <row r="17" spans="2:34" ht="30" customHeight="1" x14ac:dyDescent="0.25">
      <c r="B17" s="18" t="str">
        <f>NomMois&amp;" Total"</f>
        <v>Juillet Total</v>
      </c>
      <c r="C17" s="11">
        <f>SUBTOTAL(103,Juillet[1])</f>
        <v>0</v>
      </c>
      <c r="D17" s="11">
        <f>SUBTOTAL(103,Juillet[2])</f>
        <v>0</v>
      </c>
      <c r="E17" s="11">
        <f>SUBTOTAL(103,Juillet[3])</f>
        <v>0</v>
      </c>
      <c r="F17" s="11">
        <f>SUBTOTAL(103,Juillet[4])</f>
        <v>0</v>
      </c>
      <c r="G17" s="11">
        <f>SUBTOTAL(103,Juillet[5])</f>
        <v>0</v>
      </c>
      <c r="H17" s="11">
        <f>SUBTOTAL(103,Juillet[6])</f>
        <v>0</v>
      </c>
      <c r="I17" s="11">
        <f>SUBTOTAL(103,Juillet[7])</f>
        <v>0</v>
      </c>
      <c r="J17" s="11">
        <f>SUBTOTAL(103,Juillet[8])</f>
        <v>0</v>
      </c>
      <c r="K17" s="11">
        <f>SUBTOTAL(103,Juillet[9])</f>
        <v>0</v>
      </c>
      <c r="L17" s="11">
        <f>SUBTOTAL(103,Juillet[10])</f>
        <v>0</v>
      </c>
      <c r="M17" s="11">
        <f>SUBTOTAL(103,Juillet[11])</f>
        <v>0</v>
      </c>
      <c r="N17" s="11">
        <f>SUBTOTAL(103,Juillet[12])</f>
        <v>0</v>
      </c>
      <c r="O17" s="11">
        <f>SUBTOTAL(103,Juillet[13])</f>
        <v>0</v>
      </c>
      <c r="P17" s="11">
        <f>SUBTOTAL(103,Juillet[14])</f>
        <v>0</v>
      </c>
      <c r="Q17" s="11">
        <f>SUBTOTAL(103,Juillet[15])</f>
        <v>0</v>
      </c>
      <c r="R17" s="11">
        <f>SUBTOTAL(103,Juillet[16])</f>
        <v>0</v>
      </c>
      <c r="S17" s="11">
        <f>SUBTOTAL(103,Juillet[17])</f>
        <v>0</v>
      </c>
      <c r="T17" s="11">
        <f>SUBTOTAL(103,Juillet[18])</f>
        <v>0</v>
      </c>
      <c r="U17" s="11">
        <f>SUBTOTAL(103,Juillet[19])</f>
        <v>0</v>
      </c>
      <c r="V17" s="11">
        <f>SUBTOTAL(103,Juillet[20])</f>
        <v>0</v>
      </c>
      <c r="W17" s="11">
        <f>SUBTOTAL(103,Juillet[21])</f>
        <v>0</v>
      </c>
      <c r="X17" s="11">
        <f>SUBTOTAL(103,Juillet[22])</f>
        <v>0</v>
      </c>
      <c r="Y17" s="11">
        <f>SUBTOTAL(103,Juillet[23])</f>
        <v>0</v>
      </c>
      <c r="Z17" s="11">
        <f>SUBTOTAL(103,Juillet[24])</f>
        <v>0</v>
      </c>
      <c r="AA17" s="11">
        <f>SUBTOTAL(103,Juillet[25])</f>
        <v>0</v>
      </c>
      <c r="AB17" s="11">
        <f>SUBTOTAL(103,Juillet[26])</f>
        <v>0</v>
      </c>
      <c r="AC17" s="11">
        <f>SUBTOTAL(103,Juillet[27])</f>
        <v>0</v>
      </c>
      <c r="AD17" s="11">
        <f>SUBTOTAL(103,Juillet[28])</f>
        <v>0</v>
      </c>
      <c r="AE17" s="11">
        <f>SUBTOTAL(103,Juillet[29])</f>
        <v>0</v>
      </c>
      <c r="AF17" s="11">
        <f>SUBTOTAL(103,Juillet[30])</f>
        <v>0</v>
      </c>
      <c r="AG17" s="11">
        <f>SUBTOTAL(103,Juillet[31])</f>
        <v>0</v>
      </c>
      <c r="AH17" s="11">
        <f>SUBTOTAL(109,Juillet[Total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494" priority="2" stopIfTrue="1">
      <formula>C7=CléPersonnalisée2</formula>
    </cfRule>
    <cfRule type="expression" dxfId="493" priority="3" stopIfTrue="1">
      <formula>C7=CléPersonnalisée1</formula>
    </cfRule>
    <cfRule type="expression" dxfId="492" priority="4" stopIfTrue="1">
      <formula>C7=CléMaladie</formula>
    </cfRule>
    <cfRule type="expression" dxfId="491" priority="5" stopIfTrue="1">
      <formula>C7=CléPersonnel</formula>
    </cfRule>
    <cfRule type="expression" dxfId="490"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00000000-0002-0000-0600-000002000000}"/>
    <dataValidation allowBlank="1" showInputMessage="1" showErrorMessage="1" prompt="Entrez une étiquette pour décrire la clé personnalisée à gauche" sqref="N2 S2" xr:uid="{00000000-0002-0000-0600-000003000000}"/>
    <dataValidation allowBlank="1" showInputMessage="1" showErrorMessage="1" prompt="Entrez une lettre et personnalisez l’étiquette à droite pour ajouter un élément de clé" sqref="M2 R2" xr:uid="{00000000-0002-0000-0600-000004000000}"/>
    <dataValidation allowBlank="1" showInputMessage="1" showErrorMessage="1" prompt="La lettre « M » indique une absence pour cause de maladie" sqref="J2" xr:uid="{00000000-0002-0000-0600-000005000000}"/>
    <dataValidation allowBlank="1" showInputMessage="1" showErrorMessage="1" prompt="La lettre « P » indique une absence pour motifs personnels" sqref="F2" xr:uid="{00000000-0002-0000-0600-000006000000}"/>
    <dataValidation allowBlank="1" showInputMessage="1" showErrorMessage="1" prompt="La lettre « C » indique une absence pour cause de congé" sqref="C2" xr:uid="{00000000-0002-0000-0600-000007000000}"/>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600-000009000000}"/>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600-00000E000000}">
          <x14:formula1>
            <xm:f>'Noms des employés'!$B$4:$B$8</xm:f>
          </x14:formula1>
          <xm:sqref>B7:B16</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2" tint="-0.749992370372631"/>
  </sheetPr>
  <dimension ref="B1:AH17"/>
  <sheetViews>
    <sheetView showGridLines="0" zoomScaleNormal="100" workbookViewId="0">
      <selection activeCell="B10" sqref="B10: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8" t="s">
        <v>12</v>
      </c>
      <c r="E2" s="28"/>
      <c r="F2" s="4" t="s">
        <v>15</v>
      </c>
      <c r="G2" s="28" t="s">
        <v>19</v>
      </c>
      <c r="H2" s="28"/>
      <c r="I2" s="28"/>
      <c r="J2" s="5" t="s">
        <v>17</v>
      </c>
      <c r="K2" s="28" t="s">
        <v>24</v>
      </c>
      <c r="L2" s="28"/>
      <c r="M2" s="6"/>
      <c r="N2" s="28" t="s">
        <v>28</v>
      </c>
      <c r="O2" s="28"/>
      <c r="P2" s="28"/>
      <c r="Q2" s="28"/>
      <c r="R2" s="7"/>
      <c r="S2" s="28" t="s">
        <v>33</v>
      </c>
      <c r="T2" s="28"/>
      <c r="U2" s="28"/>
      <c r="V2" s="28"/>
    </row>
    <row r="3" spans="2:34" ht="15" customHeight="1" x14ac:dyDescent="0.25">
      <c r="B3" s="12"/>
    </row>
    <row r="4" spans="2:34" ht="30" customHeight="1" x14ac:dyDescent="0.25">
      <c r="B4" s="10" t="s">
        <v>59</v>
      </c>
      <c r="C4" s="27" t="s">
        <v>10</v>
      </c>
      <c r="D4" s="27"/>
      <c r="E4" s="27"/>
      <c r="F4" s="27"/>
      <c r="G4" s="27"/>
      <c r="H4" s="27"/>
      <c r="I4" s="27"/>
      <c r="J4" s="27"/>
      <c r="K4" s="27"/>
      <c r="L4" s="27"/>
      <c r="M4" s="27"/>
      <c r="N4" s="27"/>
      <c r="O4" s="27"/>
      <c r="P4" s="27"/>
      <c r="Q4" s="27"/>
      <c r="R4" s="27"/>
      <c r="S4" s="27"/>
      <c r="T4" s="27"/>
      <c r="U4" s="27"/>
      <c r="V4" s="27"/>
      <c r="W4" s="27"/>
      <c r="X4" s="27"/>
      <c r="Y4" s="27"/>
      <c r="Z4" s="27"/>
      <c r="AA4" s="27"/>
      <c r="AB4" s="27"/>
      <c r="AC4" s="27"/>
      <c r="AD4" s="27"/>
      <c r="AE4" s="27"/>
      <c r="AF4" s="27"/>
      <c r="AG4" s="27"/>
      <c r="AH4" s="10">
        <f>AnnéeCalendrier</f>
        <v>2023</v>
      </c>
    </row>
    <row r="5" spans="2:34" ht="15" customHeight="1" x14ac:dyDescent="0.25">
      <c r="B5" s="10"/>
      <c r="C5" s="2" t="str">
        <f>TEXT(WEEKDAY(DATE(AnnéeCalendrier,8,1),1),"jjj")</f>
        <v>mar</v>
      </c>
      <c r="D5" s="2" t="str">
        <f>TEXT(WEEKDAY(DATE(AnnéeCalendrier,8,2),1),"jjj")</f>
        <v>mer</v>
      </c>
      <c r="E5" s="2" t="str">
        <f>TEXT(WEEKDAY(DATE(AnnéeCalendrier,8,3),1),"jjj")</f>
        <v>jeu</v>
      </c>
      <c r="F5" s="2" t="str">
        <f>TEXT(WEEKDAY(DATE(AnnéeCalendrier,8,4),1),"jjj")</f>
        <v>ven</v>
      </c>
      <c r="G5" s="2" t="str">
        <f>TEXT(WEEKDAY(DATE(AnnéeCalendrier,8,5),1),"jjj")</f>
        <v>sam</v>
      </c>
      <c r="H5" s="2" t="str">
        <f>TEXT(WEEKDAY(DATE(AnnéeCalendrier,8,6),1),"jjj")</f>
        <v>dim</v>
      </c>
      <c r="I5" s="2" t="str">
        <f>TEXT(WEEKDAY(DATE(AnnéeCalendrier,8,7),1),"jjj")</f>
        <v>lun</v>
      </c>
      <c r="J5" s="2" t="str">
        <f>TEXT(WEEKDAY(DATE(AnnéeCalendrier,8,8),1),"jjj")</f>
        <v>mar</v>
      </c>
      <c r="K5" s="2" t="str">
        <f>TEXT(WEEKDAY(DATE(AnnéeCalendrier,8,9),1),"jjj")</f>
        <v>mer</v>
      </c>
      <c r="L5" s="2" t="str">
        <f>TEXT(WEEKDAY(DATE(AnnéeCalendrier,8,10),1),"jjj")</f>
        <v>jeu</v>
      </c>
      <c r="M5" s="2" t="str">
        <f>TEXT(WEEKDAY(DATE(AnnéeCalendrier,8,11),1),"jjj")</f>
        <v>ven</v>
      </c>
      <c r="N5" s="2" t="str">
        <f>TEXT(WEEKDAY(DATE(AnnéeCalendrier,8,12),1),"jjj")</f>
        <v>sam</v>
      </c>
      <c r="O5" s="2" t="str">
        <f>TEXT(WEEKDAY(DATE(AnnéeCalendrier,8,13),1),"jjj")</f>
        <v>dim</v>
      </c>
      <c r="P5" s="2" t="str">
        <f>TEXT(WEEKDAY(DATE(AnnéeCalendrier,8,14),1),"jjj")</f>
        <v>lun</v>
      </c>
      <c r="Q5" s="2" t="str">
        <f>TEXT(WEEKDAY(DATE(AnnéeCalendrier,8,15),1),"jjj")</f>
        <v>mar</v>
      </c>
      <c r="R5" s="2" t="str">
        <f>TEXT(WEEKDAY(DATE(AnnéeCalendrier,8,16),1),"jjj")</f>
        <v>mer</v>
      </c>
      <c r="S5" s="2" t="str">
        <f>TEXT(WEEKDAY(DATE(AnnéeCalendrier,8,17),1),"jjj")</f>
        <v>jeu</v>
      </c>
      <c r="T5" s="2" t="str">
        <f>TEXT(WEEKDAY(DATE(AnnéeCalendrier,8,18),1),"jjj")</f>
        <v>ven</v>
      </c>
      <c r="U5" s="2" t="str">
        <f>TEXT(WEEKDAY(DATE(AnnéeCalendrier,8,19),1),"jjj")</f>
        <v>sam</v>
      </c>
      <c r="V5" s="2" t="str">
        <f>TEXT(WEEKDAY(DATE(AnnéeCalendrier,8,20),1),"jjj")</f>
        <v>dim</v>
      </c>
      <c r="W5" s="2" t="str">
        <f>TEXT(WEEKDAY(DATE(AnnéeCalendrier,8,21),1),"jjj")</f>
        <v>lun</v>
      </c>
      <c r="X5" s="2" t="str">
        <f>TEXT(WEEKDAY(DATE(AnnéeCalendrier,8,22),1),"jjj")</f>
        <v>mar</v>
      </c>
      <c r="Y5" s="2" t="str">
        <f>TEXT(WEEKDAY(DATE(AnnéeCalendrier,8,23),1),"jjj")</f>
        <v>mer</v>
      </c>
      <c r="Z5" s="2" t="str">
        <f>TEXT(WEEKDAY(DATE(AnnéeCalendrier,8,24),1),"jjj")</f>
        <v>jeu</v>
      </c>
      <c r="AA5" s="2" t="str">
        <f>TEXT(WEEKDAY(DATE(AnnéeCalendrier,8,25),1),"jjj")</f>
        <v>ven</v>
      </c>
      <c r="AB5" s="2" t="str">
        <f>TEXT(WEEKDAY(DATE(AnnéeCalendrier,8,26),1),"jjj")</f>
        <v>sam</v>
      </c>
      <c r="AC5" s="2" t="str">
        <f>TEXT(WEEKDAY(DATE(AnnéeCalendrier,8,27),1),"jjj")</f>
        <v>dim</v>
      </c>
      <c r="AD5" s="2" t="str">
        <f>TEXT(WEEKDAY(DATE(AnnéeCalendrier,8,28),1),"jjj")</f>
        <v>lun</v>
      </c>
      <c r="AE5" s="2" t="str">
        <f>TEXT(WEEKDAY(DATE(AnnéeCalendrier,8,29),1),"jjj")</f>
        <v>mar</v>
      </c>
      <c r="AF5" s="2" t="str">
        <f>TEXT(WEEKDAY(DATE(AnnéeCalendrier,8,30),1),"jjj")</f>
        <v>mer</v>
      </c>
      <c r="AG5" s="2" t="str">
        <f>TEXT(WEEKDAY(DATE(AnnéeCalendrier,8,31),1),"jjj")</f>
        <v>jeu</v>
      </c>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COUNTA(Août[[#This Row],[1]:[31]])</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COUNTA(Août[[#This Row],[1]:[31]])</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COUNTA(Août[[#This Row],[1]:[31]])</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COUNTA(Août[[#This Row],[1]:[31]])</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COUNTA(Août[[#This Row],[1]:[31]])</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COUNTA(Août[[#This Row],[1]:[31]])</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COUNTA(Août[[#This Row],[1]:[31]])</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COUNTA(Août[[#This Row],[1]:[31]])</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COUNTA(Août[[#This Row],[1]:[31]])</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COUNTA(Août[[#This Row],[1]:[31]])</f>
        <v>0</v>
      </c>
    </row>
    <row r="17" spans="2:34" ht="30" customHeight="1" x14ac:dyDescent="0.25">
      <c r="B17" s="18" t="str">
        <f>NomMois&amp;" Total"</f>
        <v>Août Total</v>
      </c>
      <c r="C17" s="11">
        <f>SUBTOTAL(103,Août[1])</f>
        <v>0</v>
      </c>
      <c r="D17" s="11">
        <f>SUBTOTAL(103,Août[2])</f>
        <v>0</v>
      </c>
      <c r="E17" s="11">
        <f>SUBTOTAL(103,Août[3])</f>
        <v>0</v>
      </c>
      <c r="F17" s="11">
        <f>SUBTOTAL(103,Août[4])</f>
        <v>0</v>
      </c>
      <c r="G17" s="11">
        <f>SUBTOTAL(103,Août[5])</f>
        <v>0</v>
      </c>
      <c r="H17" s="11">
        <f>SUBTOTAL(103,Août[6])</f>
        <v>0</v>
      </c>
      <c r="I17" s="11">
        <f>SUBTOTAL(103,Août[7])</f>
        <v>0</v>
      </c>
      <c r="J17" s="11">
        <f>SUBTOTAL(103,Août[8])</f>
        <v>0</v>
      </c>
      <c r="K17" s="11">
        <f>SUBTOTAL(103,Août[9])</f>
        <v>0</v>
      </c>
      <c r="L17" s="11">
        <f>SUBTOTAL(103,Août[10])</f>
        <v>0</v>
      </c>
      <c r="M17" s="11">
        <f>SUBTOTAL(103,Août[11])</f>
        <v>0</v>
      </c>
      <c r="N17" s="11">
        <f>SUBTOTAL(103,Août[12])</f>
        <v>0</v>
      </c>
      <c r="O17" s="11">
        <f>SUBTOTAL(103,Août[13])</f>
        <v>0</v>
      </c>
      <c r="P17" s="11">
        <f>SUBTOTAL(103,Août[14])</f>
        <v>0</v>
      </c>
      <c r="Q17" s="11">
        <f>SUBTOTAL(103,Août[15])</f>
        <v>0</v>
      </c>
      <c r="R17" s="11">
        <f>SUBTOTAL(103,Août[16])</f>
        <v>0</v>
      </c>
      <c r="S17" s="11">
        <f>SUBTOTAL(103,Août[17])</f>
        <v>0</v>
      </c>
      <c r="T17" s="11">
        <f>SUBTOTAL(103,Août[18])</f>
        <v>0</v>
      </c>
      <c r="U17" s="11">
        <f>SUBTOTAL(103,Août[19])</f>
        <v>0</v>
      </c>
      <c r="V17" s="11">
        <f>SUBTOTAL(103,Août[20])</f>
        <v>0</v>
      </c>
      <c r="W17" s="11">
        <f>SUBTOTAL(103,Août[21])</f>
        <v>0</v>
      </c>
      <c r="X17" s="11">
        <f>SUBTOTAL(103,Août[22])</f>
        <v>0</v>
      </c>
      <c r="Y17" s="11">
        <f>SUBTOTAL(103,Août[23])</f>
        <v>0</v>
      </c>
      <c r="Z17" s="11">
        <f>SUBTOTAL(103,Août[24])</f>
        <v>0</v>
      </c>
      <c r="AA17" s="11">
        <f>SUBTOTAL(103,Août[25])</f>
        <v>0</v>
      </c>
      <c r="AB17" s="11">
        <f>SUBTOTAL(103,Août[26])</f>
        <v>0</v>
      </c>
      <c r="AC17" s="11">
        <f>SUBTOTAL(103,Août[27])</f>
        <v>0</v>
      </c>
      <c r="AD17" s="11">
        <f>SUBTOTAL(103,Août[28])</f>
        <v>0</v>
      </c>
      <c r="AE17" s="11">
        <f>SUBTOTAL(103,Août[29])</f>
        <v>0</v>
      </c>
      <c r="AF17" s="11">
        <f>SUBTOTAL(103,Août[30])</f>
        <v>0</v>
      </c>
      <c r="AG17" s="11">
        <f>SUBTOTAL(103,Août[31])</f>
        <v>0</v>
      </c>
      <c r="AH17" s="11">
        <f>SUBTOTAL(109,Août[Total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420" priority="2" stopIfTrue="1">
      <formula>C7=CléPersonnalisée2</formula>
    </cfRule>
    <cfRule type="expression" dxfId="419" priority="3" stopIfTrue="1">
      <formula>C7=CléPersonnalisée1</formula>
    </cfRule>
    <cfRule type="expression" dxfId="418" priority="4" stopIfTrue="1">
      <formula>C7=CléMaladie</formula>
    </cfRule>
    <cfRule type="expression" dxfId="417" priority="5" stopIfTrue="1">
      <formula>C7=CléPersonnel</formula>
    </cfRule>
    <cfRule type="expression" dxfId="416"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700-000000000000}"/>
    <dataValidation allowBlank="1" showInputMessage="1" showErrorMessage="1" prompt="Année mise à jour automatiquement en fonction de l’année entrée dans la feuille de calcul Janvier" sqref="AH4" xr:uid="{00000000-0002-0000-0700-000001000000}"/>
    <dataValidation allowBlank="1" showInputMessage="1" showErrorMessage="1" prompt="Calcule automatiquement le nombre total de jours d’absence d’un employé durant ce mois dans cette colonne" sqref="AH6" xr:uid="{00000000-0002-0000-0700-000002000000}"/>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700-000004000000}"/>
    <dataValidation allowBlank="1" showInputMessage="1" showErrorMessage="1" prompt="Le titre mis à jour automatiquement figure dans cette cellule. Pour modifier le titre, mettez à jour la cellule B1 de la feuille de calcul Janvier" sqref="B1" xr:uid="{00000000-0002-0000-0700-000005000000}"/>
    <dataValidation allowBlank="1" showInputMessage="1" showErrorMessage="1" prompt="La lettre « C » indique une absence pour cause de congé" sqref="C2" xr:uid="{00000000-0002-0000-0700-000006000000}"/>
    <dataValidation allowBlank="1" showInputMessage="1" showErrorMessage="1" prompt="La lettre « P » indique une absence pour motifs personnels" sqref="F2" xr:uid="{00000000-0002-0000-0700-000007000000}"/>
    <dataValidation allowBlank="1" showInputMessage="1" showErrorMessage="1" prompt="La lettre « M » indique une absence pour cause de maladie" sqref="J2" xr:uid="{00000000-0002-0000-0700-000008000000}"/>
    <dataValidation allowBlank="1" showInputMessage="1" showErrorMessage="1" prompt="Entrez une lettre et personnalisez l’étiquette à droite pour ajouter un élément de clé" sqref="M2 R2" xr:uid="{00000000-0002-0000-0700-000009000000}"/>
    <dataValidation allowBlank="1" showInputMessage="1" showErrorMessage="1" prompt="Entrez une étiquette pour décrire la clé personnalisée à gauche" sqref="N2 S2" xr:uid="{00000000-0002-0000-0700-00000A000000}"/>
    <dataValidation allowBlank="1" showInputMessage="1" showErrorMessage="1" prompt="Cette ligne définit les clés utilisées dans le tableau : Congé en C2, Personnel en F2 et Congé maladie en J2. Les cellules M2 et R2 sont personnalisables" sqref="B2" xr:uid="{00000000-0002-0000-07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7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700-00000E000000}">
          <x14:formula1>
            <xm:f>'Noms des employés'!$B$4:$B$8</xm:f>
          </x14:formula1>
          <xm:sqref>B7:B16</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tabColor theme="2" tint="-0.499984740745262"/>
  </sheetPr>
  <dimension ref="B1:AH17"/>
  <sheetViews>
    <sheetView showGridLines="0" zoomScaleNormal="100" workbookViewId="0">
      <selection activeCell="B10" sqref="B10: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8" t="s">
        <v>12</v>
      </c>
      <c r="E2" s="28"/>
      <c r="F2" s="4" t="s">
        <v>15</v>
      </c>
      <c r="G2" s="28" t="s">
        <v>19</v>
      </c>
      <c r="H2" s="28"/>
      <c r="I2" s="28"/>
      <c r="J2" s="5" t="s">
        <v>17</v>
      </c>
      <c r="K2" s="28" t="s">
        <v>24</v>
      </c>
      <c r="L2" s="28"/>
      <c r="M2" s="6"/>
      <c r="N2" s="28" t="s">
        <v>28</v>
      </c>
      <c r="O2" s="28"/>
      <c r="P2" s="28"/>
      <c r="Q2" s="28"/>
      <c r="R2" s="7"/>
      <c r="S2" s="28" t="s">
        <v>33</v>
      </c>
      <c r="T2" s="28"/>
      <c r="U2" s="28"/>
      <c r="V2" s="28"/>
    </row>
    <row r="3" spans="2:34" ht="15" customHeight="1" x14ac:dyDescent="0.25">
      <c r="B3" s="12"/>
    </row>
    <row r="4" spans="2:34" ht="30" customHeight="1" x14ac:dyDescent="0.25">
      <c r="B4" s="10" t="s">
        <v>60</v>
      </c>
      <c r="C4" s="27" t="s">
        <v>10</v>
      </c>
      <c r="D4" s="27"/>
      <c r="E4" s="27"/>
      <c r="F4" s="27"/>
      <c r="G4" s="27"/>
      <c r="H4" s="27"/>
      <c r="I4" s="27"/>
      <c r="J4" s="27"/>
      <c r="K4" s="27"/>
      <c r="L4" s="27"/>
      <c r="M4" s="27"/>
      <c r="N4" s="27"/>
      <c r="O4" s="27"/>
      <c r="P4" s="27"/>
      <c r="Q4" s="27"/>
      <c r="R4" s="27"/>
      <c r="S4" s="27"/>
      <c r="T4" s="27"/>
      <c r="U4" s="27"/>
      <c r="V4" s="27"/>
      <c r="W4" s="27"/>
      <c r="X4" s="27"/>
      <c r="Y4" s="27"/>
      <c r="Z4" s="27"/>
      <c r="AA4" s="27"/>
      <c r="AB4" s="27"/>
      <c r="AC4" s="27"/>
      <c r="AD4" s="27"/>
      <c r="AE4" s="27"/>
      <c r="AF4" s="27"/>
      <c r="AG4" s="27"/>
      <c r="AH4" s="10">
        <f>AnnéeCalendrier</f>
        <v>2023</v>
      </c>
    </row>
    <row r="5" spans="2:34" ht="15" customHeight="1" x14ac:dyDescent="0.25">
      <c r="B5" s="10"/>
      <c r="C5" s="2" t="str">
        <f>TEXT(WEEKDAY(DATE(AnnéeCalendrier,9,1),1),"jjj")</f>
        <v>ven</v>
      </c>
      <c r="D5" s="2" t="str">
        <f>TEXT(WEEKDAY(DATE(AnnéeCalendrier,9,2),1),"jjj")</f>
        <v>sam</v>
      </c>
      <c r="E5" s="2" t="str">
        <f>TEXT(WEEKDAY(DATE(AnnéeCalendrier,9,3),1),"jjj")</f>
        <v>dim</v>
      </c>
      <c r="F5" s="2" t="str">
        <f>TEXT(WEEKDAY(DATE(AnnéeCalendrier,9,4),1),"jjj")</f>
        <v>lun</v>
      </c>
      <c r="G5" s="2" t="str">
        <f>TEXT(WEEKDAY(DATE(AnnéeCalendrier,9,5),1),"jjj")</f>
        <v>mar</v>
      </c>
      <c r="H5" s="2" t="str">
        <f>TEXT(WEEKDAY(DATE(AnnéeCalendrier,9,6),1),"jjj")</f>
        <v>mer</v>
      </c>
      <c r="I5" s="2" t="str">
        <f>TEXT(WEEKDAY(DATE(AnnéeCalendrier,9,7),1),"jjj")</f>
        <v>jeu</v>
      </c>
      <c r="J5" s="2" t="str">
        <f>TEXT(WEEKDAY(DATE(AnnéeCalendrier,9,8),1),"jjj")</f>
        <v>ven</v>
      </c>
      <c r="K5" s="2" t="str">
        <f>TEXT(WEEKDAY(DATE(AnnéeCalendrier,9,9),1),"jjj")</f>
        <v>sam</v>
      </c>
      <c r="L5" s="2" t="str">
        <f>TEXT(WEEKDAY(DATE(AnnéeCalendrier,9,10),1),"jjj")</f>
        <v>dim</v>
      </c>
      <c r="M5" s="2" t="str">
        <f>TEXT(WEEKDAY(DATE(AnnéeCalendrier,9,11),1),"jjj")</f>
        <v>lun</v>
      </c>
      <c r="N5" s="2" t="str">
        <f>TEXT(WEEKDAY(DATE(AnnéeCalendrier,9,12),1),"jjj")</f>
        <v>mar</v>
      </c>
      <c r="O5" s="2" t="str">
        <f>TEXT(WEEKDAY(DATE(AnnéeCalendrier,9,13),1),"jjj")</f>
        <v>mer</v>
      </c>
      <c r="P5" s="2" t="str">
        <f>TEXT(WEEKDAY(DATE(AnnéeCalendrier,9,14),1),"jjj")</f>
        <v>jeu</v>
      </c>
      <c r="Q5" s="2" t="str">
        <f>TEXT(WEEKDAY(DATE(AnnéeCalendrier,9,15),1),"jjj")</f>
        <v>ven</v>
      </c>
      <c r="R5" s="2" t="str">
        <f>TEXT(WEEKDAY(DATE(AnnéeCalendrier,9,16),1),"jjj")</f>
        <v>sam</v>
      </c>
      <c r="S5" s="2" t="str">
        <f>TEXT(WEEKDAY(DATE(AnnéeCalendrier,9,17),1),"jjj")</f>
        <v>dim</v>
      </c>
      <c r="T5" s="2" t="str">
        <f>TEXT(WEEKDAY(DATE(AnnéeCalendrier,9,18),1),"jjj")</f>
        <v>lun</v>
      </c>
      <c r="U5" s="2" t="str">
        <f>TEXT(WEEKDAY(DATE(AnnéeCalendrier,9,19),1),"jjj")</f>
        <v>mar</v>
      </c>
      <c r="V5" s="2" t="str">
        <f>TEXT(WEEKDAY(DATE(AnnéeCalendrier,9,20),1),"jjj")</f>
        <v>mer</v>
      </c>
      <c r="W5" s="2" t="str">
        <f>TEXT(WEEKDAY(DATE(AnnéeCalendrier,9,21),1),"jjj")</f>
        <v>jeu</v>
      </c>
      <c r="X5" s="2" t="str">
        <f>TEXT(WEEKDAY(DATE(AnnéeCalendrier,9,22),1),"jjj")</f>
        <v>ven</v>
      </c>
      <c r="Y5" s="2" t="str">
        <f>TEXT(WEEKDAY(DATE(AnnéeCalendrier,9,23),1),"jjj")</f>
        <v>sam</v>
      </c>
      <c r="Z5" s="2" t="str">
        <f>TEXT(WEEKDAY(DATE(AnnéeCalendrier,9,24),1),"jjj")</f>
        <v>dim</v>
      </c>
      <c r="AA5" s="2" t="str">
        <f>TEXT(WEEKDAY(DATE(AnnéeCalendrier,9,25),1),"jjj")</f>
        <v>lun</v>
      </c>
      <c r="AB5" s="2" t="str">
        <f>TEXT(WEEKDAY(DATE(AnnéeCalendrier,9,26),1),"jjj")</f>
        <v>mar</v>
      </c>
      <c r="AC5" s="2" t="str">
        <f>TEXT(WEEKDAY(DATE(AnnéeCalendrier,9,27),1),"jjj")</f>
        <v>mer</v>
      </c>
      <c r="AD5" s="2" t="str">
        <f>TEXT(WEEKDAY(DATE(AnnéeCalendrier,9,28),1),"jjj")</f>
        <v>jeu</v>
      </c>
      <c r="AE5" s="2" t="str">
        <f>TEXT(WEEKDAY(DATE(AnnéeCalendrier,9,29),1),"jjj")</f>
        <v>ven</v>
      </c>
      <c r="AF5" s="2" t="str">
        <f>TEXT(WEEKDAY(DATE(AnnéeCalendrier,9,30),1),"jjj")</f>
        <v>sam</v>
      </c>
      <c r="AG5" s="2"/>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52</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COUNTA(Septembre[[#This Row],[1]:[30]])</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COUNTA(Septembre[[#This Row],[1]:[30]])</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COUNTA(Septembre[[#This Row],[1]:[30]])</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COUNTA(Septembre[[#This Row],[1]:[30]])</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COUNTA(Septembre[[#This Row],[1]:[30]])</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COUNTA(Septembre[[#This Row],[1]:[30]])</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COUNTA(Septembre[[#This Row],[1]:[30]])</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COUNTA(Septembre[[#This Row],[1]:[30]])</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COUNTA(Septembre[[#This Row],[1]:[30]])</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COUNTA(Septembre[[#This Row],[1]:[30]])</f>
        <v>0</v>
      </c>
    </row>
    <row r="17" spans="2:34" ht="30" customHeight="1" x14ac:dyDescent="0.25">
      <c r="B17" s="18" t="str">
        <f>NomMois&amp;" Total"</f>
        <v>Septembre Total</v>
      </c>
      <c r="C17" s="11">
        <f>SUBTOTAL(103,Septembre[1])</f>
        <v>0</v>
      </c>
      <c r="D17" s="11">
        <f>SUBTOTAL(103,Septembre[2])</f>
        <v>0</v>
      </c>
      <c r="E17" s="11">
        <f>SUBTOTAL(103,Septembre[3])</f>
        <v>0</v>
      </c>
      <c r="F17" s="11">
        <f>SUBTOTAL(103,Septembre[4])</f>
        <v>0</v>
      </c>
      <c r="G17" s="11">
        <f>SUBTOTAL(103,Septembre[5])</f>
        <v>0</v>
      </c>
      <c r="H17" s="11">
        <f>SUBTOTAL(103,Septembre[6])</f>
        <v>0</v>
      </c>
      <c r="I17" s="11">
        <f>SUBTOTAL(103,Septembre[7])</f>
        <v>0</v>
      </c>
      <c r="J17" s="11">
        <f>SUBTOTAL(103,Septembre[8])</f>
        <v>0</v>
      </c>
      <c r="K17" s="11">
        <f>SUBTOTAL(103,Septembre[9])</f>
        <v>0</v>
      </c>
      <c r="L17" s="11">
        <f>SUBTOTAL(103,Septembre[10])</f>
        <v>0</v>
      </c>
      <c r="M17" s="11">
        <f>SUBTOTAL(103,Septembre[11])</f>
        <v>0</v>
      </c>
      <c r="N17" s="11">
        <f>SUBTOTAL(103,Septembre[12])</f>
        <v>0</v>
      </c>
      <c r="O17" s="11">
        <f>SUBTOTAL(103,Septembre[13])</f>
        <v>0</v>
      </c>
      <c r="P17" s="11">
        <f>SUBTOTAL(103,Septembre[14])</f>
        <v>0</v>
      </c>
      <c r="Q17" s="11">
        <f>SUBTOTAL(103,Septembre[15])</f>
        <v>0</v>
      </c>
      <c r="R17" s="11">
        <f>SUBTOTAL(103,Septembre[16])</f>
        <v>0</v>
      </c>
      <c r="S17" s="11">
        <f>SUBTOTAL(103,Septembre[17])</f>
        <v>0</v>
      </c>
      <c r="T17" s="11">
        <f>SUBTOTAL(103,Septembre[18])</f>
        <v>0</v>
      </c>
      <c r="U17" s="11">
        <f>SUBTOTAL(103,Septembre[19])</f>
        <v>0</v>
      </c>
      <c r="V17" s="11">
        <f>SUBTOTAL(103,Septembre[20])</f>
        <v>0</v>
      </c>
      <c r="W17" s="11">
        <f>SUBTOTAL(103,Septembre[21])</f>
        <v>0</v>
      </c>
      <c r="X17" s="11">
        <f>SUBTOTAL(103,Septembre[22])</f>
        <v>0</v>
      </c>
      <c r="Y17" s="11">
        <f>SUBTOTAL(103,Septembre[23])</f>
        <v>0</v>
      </c>
      <c r="Z17" s="11">
        <f>SUBTOTAL(103,Septembre[24])</f>
        <v>0</v>
      </c>
      <c r="AA17" s="11">
        <f>SUBTOTAL(103,Septembre[25])</f>
        <v>0</v>
      </c>
      <c r="AB17" s="11">
        <f>SUBTOTAL(103,Septembre[26])</f>
        <v>0</v>
      </c>
      <c r="AC17" s="11">
        <f>SUBTOTAL(103,Septembre[27])</f>
        <v>0</v>
      </c>
      <c r="AD17" s="11">
        <f>SUBTOTAL(103,Septembre[28])</f>
        <v>0</v>
      </c>
      <c r="AE17" s="11">
        <f>SUBTOTAL(103,Septembre[29])</f>
        <v>0</v>
      </c>
      <c r="AF17" s="11">
        <f>SUBTOTAL(103,Septembre[30])</f>
        <v>0</v>
      </c>
      <c r="AG17" s="11">
        <f>SUBTOTAL(103,Septembre[[ ]])</f>
        <v>0</v>
      </c>
      <c r="AH17" s="11">
        <f>SUBTOTAL(109,Septembre[Total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346" priority="2" stopIfTrue="1">
      <formula>C7=CléPersonnalisée2</formula>
    </cfRule>
    <cfRule type="expression" dxfId="345" priority="3" stopIfTrue="1">
      <formula>C7=CléPersonnalisée1</formula>
    </cfRule>
    <cfRule type="expression" dxfId="344" priority="4" stopIfTrue="1">
      <formula>C7=CléMaladie</formula>
    </cfRule>
    <cfRule type="expression" dxfId="343" priority="5" stopIfTrue="1">
      <formula>C7=CléPersonnel</formula>
    </cfRule>
    <cfRule type="expression" dxfId="342"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800-000001000000}"/>
    <dataValidation allowBlank="1" showInputMessage="1" showErrorMessage="1" prompt="Cette ligne définit les clés utilisées dans le tableau : Congé en C2, Personnel en F2 et Congé maladie en J2. Les cellules M2 et R2 sont personnalisables" sqref="B2" xr:uid="{00000000-0002-0000-0800-000002000000}"/>
    <dataValidation allowBlank="1" showInputMessage="1" showErrorMessage="1" prompt="Entrez une étiquette pour décrire la clé personnalisée à gauche" sqref="N2 S2" xr:uid="{00000000-0002-0000-0800-000003000000}"/>
    <dataValidation allowBlank="1" showInputMessage="1" showErrorMessage="1" prompt="Entrez une lettre et personnalisez l’étiquette à droite pour ajouter un élément de clé" sqref="M2 R2" xr:uid="{00000000-0002-0000-0800-000004000000}"/>
    <dataValidation allowBlank="1" showInputMessage="1" showErrorMessage="1" prompt="La lettre « M » indique une absence pour cause de maladie" sqref="J2" xr:uid="{00000000-0002-0000-0800-000005000000}"/>
    <dataValidation allowBlank="1" showInputMessage="1" showErrorMessage="1" prompt="La lettre « P » indique une absence pour motifs personnels" sqref="F2" xr:uid="{00000000-0002-0000-0800-000006000000}"/>
    <dataValidation allowBlank="1" showInputMessage="1" showErrorMessage="1" prompt="La lettre « C » indique une absence pour cause de congé" sqref="C2" xr:uid="{00000000-0002-0000-0800-000007000000}"/>
    <dataValidation allowBlank="1" showInputMessage="1" showErrorMessage="1" prompt="Le titre mis à jour automatiquement figure dans cette cellule. Pour modifier le titre, mettez à jour la cellule B1 de la feuille de calcul Janvier" sqref="B1"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800-000009000000}"/>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6" xr:uid="{00000000-0002-0000-0800-00000B000000}"/>
    <dataValidation allowBlank="1" showInputMessage="1" showErrorMessage="1" prompt="Année mise à jour automatiquement en fonction de l’année entrée dans la feuille de calcul Janvier" sqref="AH4" xr:uid="{00000000-0002-0000-08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E000000}">
          <x14:formula1>
            <xm:f>'Noms des employés'!$B$4:$B$8</xm:f>
          </x14:formula1>
          <xm:sqref>B7:B16</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theme="2" tint="-0.249977111117893"/>
  </sheetPr>
  <dimension ref="B1:AH17"/>
  <sheetViews>
    <sheetView showGridLines="0" zoomScaleNormal="100" workbookViewId="0">
      <selection activeCell="B10" sqref="B10: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8" t="s">
        <v>12</v>
      </c>
      <c r="E2" s="28"/>
      <c r="F2" s="4" t="s">
        <v>15</v>
      </c>
      <c r="G2" s="28" t="s">
        <v>19</v>
      </c>
      <c r="H2" s="28"/>
      <c r="I2" s="28"/>
      <c r="J2" s="5" t="s">
        <v>17</v>
      </c>
      <c r="K2" s="28" t="s">
        <v>24</v>
      </c>
      <c r="L2" s="28"/>
      <c r="M2" s="6"/>
      <c r="N2" s="28" t="s">
        <v>28</v>
      </c>
      <c r="O2" s="28"/>
      <c r="P2" s="28"/>
      <c r="Q2" s="28"/>
      <c r="R2" s="7"/>
      <c r="S2" s="28" t="s">
        <v>33</v>
      </c>
      <c r="T2" s="28"/>
      <c r="U2" s="28"/>
      <c r="V2" s="28"/>
    </row>
    <row r="3" spans="2:34" ht="15" customHeight="1" x14ac:dyDescent="0.25">
      <c r="B3" s="12"/>
    </row>
    <row r="4" spans="2:34" ht="30" customHeight="1" x14ac:dyDescent="0.25">
      <c r="B4" s="10" t="s">
        <v>61</v>
      </c>
      <c r="C4" s="27" t="s">
        <v>10</v>
      </c>
      <c r="D4" s="27"/>
      <c r="E4" s="27"/>
      <c r="F4" s="27"/>
      <c r="G4" s="27"/>
      <c r="H4" s="27"/>
      <c r="I4" s="27"/>
      <c r="J4" s="27"/>
      <c r="K4" s="27"/>
      <c r="L4" s="27"/>
      <c r="M4" s="27"/>
      <c r="N4" s="27"/>
      <c r="O4" s="27"/>
      <c r="P4" s="27"/>
      <c r="Q4" s="27"/>
      <c r="R4" s="27"/>
      <c r="S4" s="27"/>
      <c r="T4" s="27"/>
      <c r="U4" s="27"/>
      <c r="V4" s="27"/>
      <c r="W4" s="27"/>
      <c r="X4" s="27"/>
      <c r="Y4" s="27"/>
      <c r="Z4" s="27"/>
      <c r="AA4" s="27"/>
      <c r="AB4" s="27"/>
      <c r="AC4" s="27"/>
      <c r="AD4" s="27"/>
      <c r="AE4" s="27"/>
      <c r="AF4" s="27"/>
      <c r="AG4" s="27"/>
      <c r="AH4" s="10">
        <f>AnnéeCalendrier</f>
        <v>2023</v>
      </c>
    </row>
    <row r="5" spans="2:34" ht="15" customHeight="1" x14ac:dyDescent="0.25">
      <c r="B5" s="10"/>
      <c r="C5" s="2" t="str">
        <f>TEXT(WEEKDAY(DATE(AnnéeCalendrier,10,1),1),"jjj")</f>
        <v>dim</v>
      </c>
      <c r="D5" s="2" t="str">
        <f>TEXT(WEEKDAY(DATE(AnnéeCalendrier,10,2),1),"jjj")</f>
        <v>lun</v>
      </c>
      <c r="E5" s="2" t="str">
        <f>TEXT(WEEKDAY(DATE(AnnéeCalendrier,10,3),1),"jjj")</f>
        <v>mar</v>
      </c>
      <c r="F5" s="2" t="str">
        <f>TEXT(WEEKDAY(DATE(AnnéeCalendrier,10,4),1),"jjj")</f>
        <v>mer</v>
      </c>
      <c r="G5" s="2" t="str">
        <f>TEXT(WEEKDAY(DATE(AnnéeCalendrier,10,5),1),"jjj")</f>
        <v>jeu</v>
      </c>
      <c r="H5" s="2" t="str">
        <f>TEXT(WEEKDAY(DATE(AnnéeCalendrier,10,6),1),"jjj")</f>
        <v>ven</v>
      </c>
      <c r="I5" s="2" t="str">
        <f>TEXT(WEEKDAY(DATE(AnnéeCalendrier,10,7),1),"jjj")</f>
        <v>sam</v>
      </c>
      <c r="J5" s="2" t="str">
        <f>TEXT(WEEKDAY(DATE(AnnéeCalendrier,10,8),1),"jjj")</f>
        <v>dim</v>
      </c>
      <c r="K5" s="2" t="str">
        <f>TEXT(WEEKDAY(DATE(AnnéeCalendrier,10,9),1),"jjj")</f>
        <v>lun</v>
      </c>
      <c r="L5" s="2" t="str">
        <f>TEXT(WEEKDAY(DATE(AnnéeCalendrier,10,10),1),"jjj")</f>
        <v>mar</v>
      </c>
      <c r="M5" s="2" t="str">
        <f>TEXT(WEEKDAY(DATE(AnnéeCalendrier,10,11),1),"jjj")</f>
        <v>mer</v>
      </c>
      <c r="N5" s="2" t="str">
        <f>TEXT(WEEKDAY(DATE(AnnéeCalendrier,10,12),1),"jjj")</f>
        <v>jeu</v>
      </c>
      <c r="O5" s="2" t="str">
        <f>TEXT(WEEKDAY(DATE(AnnéeCalendrier,10,13),1),"jjj")</f>
        <v>ven</v>
      </c>
      <c r="P5" s="2" t="str">
        <f>TEXT(WEEKDAY(DATE(AnnéeCalendrier,10,14),1),"jjj")</f>
        <v>sam</v>
      </c>
      <c r="Q5" s="2" t="str">
        <f>TEXT(WEEKDAY(DATE(AnnéeCalendrier,10,15),1),"jjj")</f>
        <v>dim</v>
      </c>
      <c r="R5" s="2" t="str">
        <f>TEXT(WEEKDAY(DATE(AnnéeCalendrier,10,16),1),"jjj")</f>
        <v>lun</v>
      </c>
      <c r="S5" s="2" t="str">
        <f>TEXT(WEEKDAY(DATE(AnnéeCalendrier,10,17),1),"jjj")</f>
        <v>mar</v>
      </c>
      <c r="T5" s="2" t="str">
        <f>TEXT(WEEKDAY(DATE(AnnéeCalendrier,10,18),1),"jjj")</f>
        <v>mer</v>
      </c>
      <c r="U5" s="2" t="str">
        <f>TEXT(WEEKDAY(DATE(AnnéeCalendrier,10,19),1),"jjj")</f>
        <v>jeu</v>
      </c>
      <c r="V5" s="2" t="str">
        <f>TEXT(WEEKDAY(DATE(AnnéeCalendrier,10,20),1),"jjj")</f>
        <v>ven</v>
      </c>
      <c r="W5" s="2" t="str">
        <f>TEXT(WEEKDAY(DATE(AnnéeCalendrier,10,21),1),"jjj")</f>
        <v>sam</v>
      </c>
      <c r="X5" s="2" t="str">
        <f>TEXT(WEEKDAY(DATE(AnnéeCalendrier,10,22),1),"jjj")</f>
        <v>dim</v>
      </c>
      <c r="Y5" s="2" t="str">
        <f>TEXT(WEEKDAY(DATE(AnnéeCalendrier,10,23),1),"jjj")</f>
        <v>lun</v>
      </c>
      <c r="Z5" s="2" t="str">
        <f>TEXT(WEEKDAY(DATE(AnnéeCalendrier,10,24),1),"jjj")</f>
        <v>mar</v>
      </c>
      <c r="AA5" s="2" t="str">
        <f>TEXT(WEEKDAY(DATE(AnnéeCalendrier,10,25),1),"jjj")</f>
        <v>mer</v>
      </c>
      <c r="AB5" s="2" t="str">
        <f>TEXT(WEEKDAY(DATE(AnnéeCalendrier,10,26),1),"jjj")</f>
        <v>jeu</v>
      </c>
      <c r="AC5" s="2" t="str">
        <f>TEXT(WEEKDAY(DATE(AnnéeCalendrier,10,27),1),"jjj")</f>
        <v>ven</v>
      </c>
      <c r="AD5" s="2" t="str">
        <f>TEXT(WEEKDAY(DATE(AnnéeCalendrier,10,28),1),"jjj")</f>
        <v>sam</v>
      </c>
      <c r="AE5" s="2" t="str">
        <f>TEXT(WEEKDAY(DATE(AnnéeCalendrier,10,29),1),"jjj")</f>
        <v>dim</v>
      </c>
      <c r="AF5" s="2" t="str">
        <f>TEXT(WEEKDAY(DATE(AnnéeCalendrier,10,30),1),"jjj")</f>
        <v>lun</v>
      </c>
      <c r="AG5" s="2" t="str">
        <f>TEXT(WEEKDAY(DATE(AnnéeCalendrier,10,31),1),"jjj")</f>
        <v>mar</v>
      </c>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COUNTA(Octobre[[#This Row],[1]:[31]])</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COUNTA(Octobre[[#This Row],[1]:[31]])</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COUNTA(Octobre[[#This Row],[1]:[31]])</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COUNTA(Octobre[[#This Row],[1]:[31]])</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COUNTA(Octobre[[#This Row],[1]:[31]])</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COUNTA(Octobre[[#This Row],[1]:[31]])</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COUNTA(Octobre[[#This Row],[1]:[31]])</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COUNTA(Octobre[[#This Row],[1]:[31]])</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COUNTA(Octobre[[#This Row],[1]:[31]])</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COUNTA(Octobre[[#This Row],[1]:[31]])</f>
        <v>0</v>
      </c>
    </row>
    <row r="17" spans="2:34" ht="30" customHeight="1" x14ac:dyDescent="0.25">
      <c r="B17" s="18" t="str">
        <f>NomMois&amp;" Total"</f>
        <v>Octobre Total</v>
      </c>
      <c r="C17" s="11">
        <f>SUBTOTAL(103,Octobre[1])</f>
        <v>0</v>
      </c>
      <c r="D17" s="11">
        <f>SUBTOTAL(103,Octobre[2])</f>
        <v>0</v>
      </c>
      <c r="E17" s="11">
        <f>SUBTOTAL(103,Octobre[3])</f>
        <v>0</v>
      </c>
      <c r="F17" s="11">
        <f>SUBTOTAL(103,Octobre[4])</f>
        <v>0</v>
      </c>
      <c r="G17" s="11">
        <f>SUBTOTAL(103,Octobre[5])</f>
        <v>0</v>
      </c>
      <c r="H17" s="11">
        <f>SUBTOTAL(103,Octobre[6])</f>
        <v>0</v>
      </c>
      <c r="I17" s="11">
        <f>SUBTOTAL(103,Octobre[7])</f>
        <v>0</v>
      </c>
      <c r="J17" s="11">
        <f>SUBTOTAL(103,Octobre[8])</f>
        <v>0</v>
      </c>
      <c r="K17" s="11">
        <f>SUBTOTAL(103,Octobre[9])</f>
        <v>0</v>
      </c>
      <c r="L17" s="11">
        <f>SUBTOTAL(103,Octobre[10])</f>
        <v>0</v>
      </c>
      <c r="M17" s="11">
        <f>SUBTOTAL(103,Octobre[11])</f>
        <v>0</v>
      </c>
      <c r="N17" s="11">
        <f>SUBTOTAL(103,Octobre[12])</f>
        <v>0</v>
      </c>
      <c r="O17" s="11">
        <f>SUBTOTAL(103,Octobre[13])</f>
        <v>0</v>
      </c>
      <c r="P17" s="11">
        <f>SUBTOTAL(103,Octobre[14])</f>
        <v>0</v>
      </c>
      <c r="Q17" s="11">
        <f>SUBTOTAL(103,Octobre[15])</f>
        <v>0</v>
      </c>
      <c r="R17" s="11">
        <f>SUBTOTAL(103,Octobre[16])</f>
        <v>0</v>
      </c>
      <c r="S17" s="11">
        <f>SUBTOTAL(103,Octobre[17])</f>
        <v>0</v>
      </c>
      <c r="T17" s="11">
        <f>SUBTOTAL(103,Octobre[18])</f>
        <v>0</v>
      </c>
      <c r="U17" s="11">
        <f>SUBTOTAL(103,Octobre[19])</f>
        <v>0</v>
      </c>
      <c r="V17" s="11">
        <f>SUBTOTAL(103,Octobre[20])</f>
        <v>0</v>
      </c>
      <c r="W17" s="11">
        <f>SUBTOTAL(103,Octobre[21])</f>
        <v>0</v>
      </c>
      <c r="X17" s="11">
        <f>SUBTOTAL(103,Octobre[22])</f>
        <v>0</v>
      </c>
      <c r="Y17" s="11">
        <f>SUBTOTAL(103,Octobre[23])</f>
        <v>0</v>
      </c>
      <c r="Z17" s="11">
        <f>SUBTOTAL(103,Octobre[24])</f>
        <v>0</v>
      </c>
      <c r="AA17" s="11">
        <f>SUBTOTAL(103,Octobre[25])</f>
        <v>0</v>
      </c>
      <c r="AB17" s="11">
        <f>SUBTOTAL(103,Octobre[26])</f>
        <v>0</v>
      </c>
      <c r="AC17" s="11">
        <f>SUBTOTAL(103,Octobre[27])</f>
        <v>0</v>
      </c>
      <c r="AD17" s="11">
        <f>SUBTOTAL(103,Octobre[28])</f>
        <v>0</v>
      </c>
      <c r="AE17" s="11">
        <f>SUBTOTAL(103,Octobre[29])</f>
        <v>0</v>
      </c>
      <c r="AF17" s="11">
        <f>SUBTOTAL(103,Octobre[30])</f>
        <v>0</v>
      </c>
      <c r="AG17" s="11">
        <f>SUBTOTAL(103,Octobre[31])</f>
        <v>0</v>
      </c>
      <c r="AH17" s="11">
        <f>SUBTOTAL(109,Octobre[Total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272" priority="2" stopIfTrue="1">
      <formula>C7=CléPersonnalisée2</formula>
    </cfRule>
    <cfRule type="expression" dxfId="271" priority="3" stopIfTrue="1">
      <formula>C7=CléPersonnalisée1</formula>
    </cfRule>
    <cfRule type="expression" dxfId="270" priority="4" stopIfTrue="1">
      <formula>C7=CléMaladie</formula>
    </cfRule>
    <cfRule type="expression" dxfId="269" priority="5" stopIfTrue="1">
      <formula>C7=CléPersonnel</formula>
    </cfRule>
    <cfRule type="expression" dxfId="268"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900-000000000000}"/>
    <dataValidation allowBlank="1" showInputMessage="1" showErrorMessage="1" prompt="Année mise à jour automatiquement en fonction de l’année entrée dans la feuille de calcul Janvier" sqref="AH4" xr:uid="{00000000-0002-0000-0900-000001000000}"/>
    <dataValidation allowBlank="1" showInputMessage="1" showErrorMessage="1" prompt="Calcule automatiquement le nombre total de jours d’absence d’un employé durant ce mois dans cette colonne" sqref="AH6" xr:uid="{00000000-0002-0000-0900-000002000000}"/>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900-000004000000}"/>
    <dataValidation allowBlank="1" showInputMessage="1" showErrorMessage="1" prompt="Le titre mis à jour automatiquement figure dans cette cellule. Pour modifier le titre, mettez à jour la cellule B1 de la feuille de calcul Janvier" sqref="B1" xr:uid="{00000000-0002-0000-0900-000005000000}"/>
    <dataValidation allowBlank="1" showInputMessage="1" showErrorMessage="1" prompt="La lettre « C » indique une absence pour cause de congé" sqref="C2" xr:uid="{00000000-0002-0000-0900-000006000000}"/>
    <dataValidation allowBlank="1" showInputMessage="1" showErrorMessage="1" prompt="La lettre « P » indique une absence pour motifs personnels" sqref="F2" xr:uid="{00000000-0002-0000-0900-000007000000}"/>
    <dataValidation allowBlank="1" showInputMessage="1" showErrorMessage="1" prompt="La lettre « M » indique une absence pour cause de maladie" sqref="J2" xr:uid="{00000000-0002-0000-0900-000008000000}"/>
    <dataValidation allowBlank="1" showInputMessage="1" showErrorMessage="1" prompt="Entrez une lettre et personnalisez l’étiquette à droite pour ajouter un élément de clé" sqref="M2 R2" xr:uid="{00000000-0002-0000-0900-000009000000}"/>
    <dataValidation allowBlank="1" showInputMessage="1" showErrorMessage="1" prompt="Entrez une étiquette pour décrire la clé personnalisée à gauche" sqref="N2 S2" xr:uid="{00000000-0002-0000-0900-00000A000000}"/>
    <dataValidation allowBlank="1" showInputMessage="1" showErrorMessage="1" prompt="Cette ligne définit les clés utilisées dans le tableau : Congé en C2, Personnel en F2 et Congé maladie en J2. Les cellules M2 et R2 sont personnalisables" sqref="B2" xr:uid="{00000000-0002-0000-09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9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900-00000E000000}">
          <x14:formula1>
            <xm:f>'Noms des employés'!$B$4:$B$8</xm:f>
          </x14:formula1>
          <xm:sqref>B7:B16</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tabColor theme="2" tint="-0.249977111117893"/>
  </sheetPr>
  <dimension ref="B1:AH17"/>
  <sheetViews>
    <sheetView showGridLines="0" zoomScaleNormal="100" workbookViewId="0">
      <selection activeCell="B10" sqref="B10: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8" t="s">
        <v>12</v>
      </c>
      <c r="E2" s="28"/>
      <c r="F2" s="4" t="s">
        <v>15</v>
      </c>
      <c r="G2" s="28" t="s">
        <v>19</v>
      </c>
      <c r="H2" s="28"/>
      <c r="I2" s="28"/>
      <c r="J2" s="5" t="s">
        <v>17</v>
      </c>
      <c r="K2" s="28" t="s">
        <v>24</v>
      </c>
      <c r="L2" s="28"/>
      <c r="M2" s="6"/>
      <c r="N2" s="28" t="s">
        <v>28</v>
      </c>
      <c r="O2" s="28"/>
      <c r="P2" s="28"/>
      <c r="Q2" s="28"/>
      <c r="R2" s="7"/>
      <c r="S2" s="28" t="s">
        <v>33</v>
      </c>
      <c r="T2" s="28"/>
      <c r="U2" s="28"/>
      <c r="V2" s="28"/>
    </row>
    <row r="3" spans="2:34" ht="15" customHeight="1" x14ac:dyDescent="0.25">
      <c r="B3" s="12"/>
    </row>
    <row r="4" spans="2:34" ht="30" customHeight="1" x14ac:dyDescent="0.25">
      <c r="B4" s="10" t="s">
        <v>62</v>
      </c>
      <c r="C4" s="27" t="s">
        <v>10</v>
      </c>
      <c r="D4" s="27"/>
      <c r="E4" s="27"/>
      <c r="F4" s="27"/>
      <c r="G4" s="27"/>
      <c r="H4" s="27"/>
      <c r="I4" s="27"/>
      <c r="J4" s="27"/>
      <c r="K4" s="27"/>
      <c r="L4" s="27"/>
      <c r="M4" s="27"/>
      <c r="N4" s="27"/>
      <c r="O4" s="27"/>
      <c r="P4" s="27"/>
      <c r="Q4" s="27"/>
      <c r="R4" s="27"/>
      <c r="S4" s="27"/>
      <c r="T4" s="27"/>
      <c r="U4" s="27"/>
      <c r="V4" s="27"/>
      <c r="W4" s="27"/>
      <c r="X4" s="27"/>
      <c r="Y4" s="27"/>
      <c r="Z4" s="27"/>
      <c r="AA4" s="27"/>
      <c r="AB4" s="27"/>
      <c r="AC4" s="27"/>
      <c r="AD4" s="27"/>
      <c r="AE4" s="27"/>
      <c r="AF4" s="27"/>
      <c r="AG4" s="27"/>
      <c r="AH4" s="10">
        <f>AnnéeCalendrier</f>
        <v>2023</v>
      </c>
    </row>
    <row r="5" spans="2:34" ht="15" customHeight="1" x14ac:dyDescent="0.25">
      <c r="B5" s="10"/>
      <c r="C5" s="2" t="str">
        <f>TEXT(WEEKDAY(DATE(AnnéeCalendrier,11,1),1),"jjj")</f>
        <v>mer</v>
      </c>
      <c r="D5" s="2" t="str">
        <f>TEXT(WEEKDAY(DATE(AnnéeCalendrier,11,2),1),"jjj")</f>
        <v>jeu</v>
      </c>
      <c r="E5" s="2" t="str">
        <f>TEXT(WEEKDAY(DATE(AnnéeCalendrier,11,3),1),"jjj")</f>
        <v>ven</v>
      </c>
      <c r="F5" s="2" t="str">
        <f>TEXT(WEEKDAY(DATE(AnnéeCalendrier,11,4),1),"jjj")</f>
        <v>sam</v>
      </c>
      <c r="G5" s="2" t="str">
        <f>TEXT(WEEKDAY(DATE(AnnéeCalendrier,11,5),1),"jjj")</f>
        <v>dim</v>
      </c>
      <c r="H5" s="2" t="str">
        <f>TEXT(WEEKDAY(DATE(AnnéeCalendrier,11,6),1),"jjj")</f>
        <v>lun</v>
      </c>
      <c r="I5" s="2" t="str">
        <f>TEXT(WEEKDAY(DATE(AnnéeCalendrier,11,7),1),"jjj")</f>
        <v>mar</v>
      </c>
      <c r="J5" s="2" t="str">
        <f>TEXT(WEEKDAY(DATE(AnnéeCalendrier,11,8),1),"jjj")</f>
        <v>mer</v>
      </c>
      <c r="K5" s="2" t="str">
        <f>TEXT(WEEKDAY(DATE(AnnéeCalendrier,11,9),1),"jjj")</f>
        <v>jeu</v>
      </c>
      <c r="L5" s="2" t="str">
        <f>TEXT(WEEKDAY(DATE(AnnéeCalendrier,11,10),1),"jjj")</f>
        <v>ven</v>
      </c>
      <c r="M5" s="2" t="str">
        <f>TEXT(WEEKDAY(DATE(AnnéeCalendrier,11,11),1),"jjj")</f>
        <v>sam</v>
      </c>
      <c r="N5" s="2" t="str">
        <f>TEXT(WEEKDAY(DATE(AnnéeCalendrier,11,12),1),"jjj")</f>
        <v>dim</v>
      </c>
      <c r="O5" s="2" t="str">
        <f>TEXT(WEEKDAY(DATE(AnnéeCalendrier,11,13),1),"jjj")</f>
        <v>lun</v>
      </c>
      <c r="P5" s="2" t="str">
        <f>TEXT(WEEKDAY(DATE(AnnéeCalendrier,11,14),1),"jjj")</f>
        <v>mar</v>
      </c>
      <c r="Q5" s="2" t="str">
        <f>TEXT(WEEKDAY(DATE(AnnéeCalendrier,11,15),1),"jjj")</f>
        <v>mer</v>
      </c>
      <c r="R5" s="2" t="str">
        <f>TEXT(WEEKDAY(DATE(AnnéeCalendrier,11,16),1),"jjj")</f>
        <v>jeu</v>
      </c>
      <c r="S5" s="2" t="str">
        <f>TEXT(WEEKDAY(DATE(AnnéeCalendrier,11,17),1),"jjj")</f>
        <v>ven</v>
      </c>
      <c r="T5" s="2" t="str">
        <f>TEXT(WEEKDAY(DATE(AnnéeCalendrier,11,18),1),"jjj")</f>
        <v>sam</v>
      </c>
      <c r="U5" s="2" t="str">
        <f>TEXT(WEEKDAY(DATE(AnnéeCalendrier,11,19),1),"jjj")</f>
        <v>dim</v>
      </c>
      <c r="V5" s="2" t="str">
        <f>TEXT(WEEKDAY(DATE(AnnéeCalendrier,11,20),1),"jjj")</f>
        <v>lun</v>
      </c>
      <c r="W5" s="2" t="str">
        <f>TEXT(WEEKDAY(DATE(AnnéeCalendrier,11,21),1),"jjj")</f>
        <v>mar</v>
      </c>
      <c r="X5" s="2" t="str">
        <f>TEXT(WEEKDAY(DATE(AnnéeCalendrier,11,22),1),"jjj")</f>
        <v>mer</v>
      </c>
      <c r="Y5" s="2" t="str">
        <f>TEXT(WEEKDAY(DATE(AnnéeCalendrier,11,23),1),"jjj")</f>
        <v>jeu</v>
      </c>
      <c r="Z5" s="2" t="str">
        <f>TEXT(WEEKDAY(DATE(AnnéeCalendrier,11,24),1),"jjj")</f>
        <v>ven</v>
      </c>
      <c r="AA5" s="2" t="str">
        <f>TEXT(WEEKDAY(DATE(AnnéeCalendrier,11,25),1),"jjj")</f>
        <v>sam</v>
      </c>
      <c r="AB5" s="2" t="str">
        <f>TEXT(WEEKDAY(DATE(AnnéeCalendrier,11,26),1),"jjj")</f>
        <v>dim</v>
      </c>
      <c r="AC5" s="2" t="str">
        <f>TEXT(WEEKDAY(DATE(AnnéeCalendrier,11,27),1),"jjj")</f>
        <v>lun</v>
      </c>
      <c r="AD5" s="2" t="str">
        <f>TEXT(WEEKDAY(DATE(AnnéeCalendrier,11,28),1),"jjj")</f>
        <v>mar</v>
      </c>
      <c r="AE5" s="2" t="str">
        <f>TEXT(WEEKDAY(DATE(AnnéeCalendrier,11,29),1),"jjj")</f>
        <v>mer</v>
      </c>
      <c r="AF5" s="2" t="str">
        <f>TEXT(WEEKDAY(DATE(AnnéeCalendrier,11,30),1),"jjj")</f>
        <v>jeu</v>
      </c>
      <c r="AG5" s="2"/>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52</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COUNTA(Novembre[[#This Row],[1]:[30]])</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COUNTA(Novembre[[#This Row],[1]:[30]])</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COUNTA(Novembre[[#This Row],[1]:[30]])</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COUNTA(Novembre[[#This Row],[1]:[30]])</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COUNTA(Novembre[[#This Row],[1]:[30]])</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COUNTA(Novembre[[#This Row],[1]:[30]])</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COUNTA(Novembre[[#This Row],[1]:[30]])</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COUNTA(Novembre[[#This Row],[1]:[30]])</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COUNTA(Novembre[[#This Row],[1]:[30]])</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COUNTA(Novembre[[#This Row],[1]:[30]])</f>
        <v>0</v>
      </c>
    </row>
    <row r="17" spans="2:34" ht="30" customHeight="1" x14ac:dyDescent="0.25">
      <c r="B17" s="18" t="str">
        <f>NomMois&amp;" Total"</f>
        <v>Novembre Total</v>
      </c>
      <c r="C17" s="11">
        <f>SUBTOTAL(103,Novembre[1])</f>
        <v>0</v>
      </c>
      <c r="D17" s="11">
        <f>SUBTOTAL(103,Novembre[2])</f>
        <v>0</v>
      </c>
      <c r="E17" s="11">
        <f>SUBTOTAL(103,Novembre[3])</f>
        <v>0</v>
      </c>
      <c r="F17" s="11">
        <f>SUBTOTAL(103,Novembre[4])</f>
        <v>0</v>
      </c>
      <c r="G17" s="11">
        <f>SUBTOTAL(103,Novembre[5])</f>
        <v>0</v>
      </c>
      <c r="H17" s="11">
        <f>SUBTOTAL(103,Novembre[6])</f>
        <v>0</v>
      </c>
      <c r="I17" s="11">
        <f>SUBTOTAL(103,Novembre[7])</f>
        <v>0</v>
      </c>
      <c r="J17" s="11">
        <f>SUBTOTAL(103,Novembre[8])</f>
        <v>0</v>
      </c>
      <c r="K17" s="11">
        <f>SUBTOTAL(103,Novembre[9])</f>
        <v>0</v>
      </c>
      <c r="L17" s="11">
        <f>SUBTOTAL(103,Novembre[10])</f>
        <v>0</v>
      </c>
      <c r="M17" s="11">
        <f>SUBTOTAL(103,Novembre[11])</f>
        <v>0</v>
      </c>
      <c r="N17" s="11">
        <f>SUBTOTAL(103,Novembre[12])</f>
        <v>0</v>
      </c>
      <c r="O17" s="11">
        <f>SUBTOTAL(103,Novembre[13])</f>
        <v>0</v>
      </c>
      <c r="P17" s="11">
        <f>SUBTOTAL(103,Novembre[14])</f>
        <v>0</v>
      </c>
      <c r="Q17" s="11">
        <f>SUBTOTAL(103,Novembre[15])</f>
        <v>0</v>
      </c>
      <c r="R17" s="11">
        <f>SUBTOTAL(103,Novembre[16])</f>
        <v>0</v>
      </c>
      <c r="S17" s="11">
        <f>SUBTOTAL(103,Novembre[17])</f>
        <v>0</v>
      </c>
      <c r="T17" s="11">
        <f>SUBTOTAL(103,Novembre[18])</f>
        <v>0</v>
      </c>
      <c r="U17" s="11">
        <f>SUBTOTAL(103,Novembre[19])</f>
        <v>0</v>
      </c>
      <c r="V17" s="11">
        <f>SUBTOTAL(103,Novembre[20])</f>
        <v>0</v>
      </c>
      <c r="W17" s="11">
        <f>SUBTOTAL(103,Novembre[21])</f>
        <v>0</v>
      </c>
      <c r="X17" s="11">
        <f>SUBTOTAL(103,Novembre[22])</f>
        <v>0</v>
      </c>
      <c r="Y17" s="11">
        <f>SUBTOTAL(103,Novembre[23])</f>
        <v>0</v>
      </c>
      <c r="Z17" s="11">
        <f>SUBTOTAL(103,Novembre[24])</f>
        <v>0</v>
      </c>
      <c r="AA17" s="11">
        <f>SUBTOTAL(103,Novembre[25])</f>
        <v>0</v>
      </c>
      <c r="AB17" s="11">
        <f>SUBTOTAL(103,Novembre[26])</f>
        <v>0</v>
      </c>
      <c r="AC17" s="11">
        <f>SUBTOTAL(103,Novembre[27])</f>
        <v>0</v>
      </c>
      <c r="AD17" s="11">
        <f>SUBTOTAL(103,Novembre[28])</f>
        <v>0</v>
      </c>
      <c r="AE17" s="11">
        <f>SUBTOTAL(103,Novembre[29])</f>
        <v>0</v>
      </c>
      <c r="AF17" s="11">
        <f>SUBTOTAL(103,Novembre[30])</f>
        <v>0</v>
      </c>
      <c r="AG17" s="11">
        <f>SUBTOTAL(103,Novembre[[ ]])</f>
        <v>0</v>
      </c>
      <c r="AH17" s="11">
        <f>SUBTOTAL(109,Novembre[Total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198" priority="2" stopIfTrue="1">
      <formula>C7=CléPersonnalisée2</formula>
    </cfRule>
    <cfRule type="expression" dxfId="197" priority="3" stopIfTrue="1">
      <formula>C7=CléPersonnalisée1</formula>
    </cfRule>
    <cfRule type="expression" dxfId="196" priority="4" stopIfTrue="1">
      <formula>C7=CléMaladie</formula>
    </cfRule>
    <cfRule type="expression" dxfId="195" priority="5" stopIfTrue="1">
      <formula>C7=CléPersonnel</formula>
    </cfRule>
    <cfRule type="expression" dxfId="194"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A00-000001000000}"/>
    <dataValidation allowBlank="1" showInputMessage="1" showErrorMessage="1" prompt="Cette ligne définit les clés utilisées dans le tableau : Congé en C2, Personnel en F2 et Congé maladie en J2. Les cellules M2 et R2 sont personnalisables" sqref="B2" xr:uid="{00000000-0002-0000-0A00-000002000000}"/>
    <dataValidation allowBlank="1" showInputMessage="1" showErrorMessage="1" prompt="Entrez une étiquette pour décrire la clé personnalisée à gauche" sqref="N2 S2" xr:uid="{00000000-0002-0000-0A00-000003000000}"/>
    <dataValidation allowBlank="1" showInputMessage="1" showErrorMessage="1" prompt="Entrez une lettre et personnalisez l’étiquette à droite pour ajouter un élément de clé" sqref="M2 R2" xr:uid="{00000000-0002-0000-0A00-000004000000}"/>
    <dataValidation allowBlank="1" showInputMessage="1" showErrorMessage="1" prompt="La lettre « M » indique une absence pour cause de maladie" sqref="J2" xr:uid="{00000000-0002-0000-0A00-000005000000}"/>
    <dataValidation allowBlank="1" showInputMessage="1" showErrorMessage="1" prompt="La lettre « P » indique une absence pour motifs personnels" sqref="F2" xr:uid="{00000000-0002-0000-0A00-000006000000}"/>
    <dataValidation allowBlank="1" showInputMessage="1" showErrorMessage="1" prompt="La lettre « C » indique une absence pour cause de congé" sqref="C2" xr:uid="{00000000-0002-0000-0A00-000007000000}"/>
    <dataValidation allowBlank="1" showInputMessage="1" showErrorMessage="1" prompt="Le titre mis à jour automatiquement figure dans cette cellule. Pour modifier le titre, mettez à jour la cellule B1 de la feuille de calcul Janvier" sqref="B1"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A00-000009000000}"/>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6" xr:uid="{00000000-0002-0000-0A00-00000B000000}"/>
    <dataValidation allowBlank="1" showInputMessage="1" showErrorMessage="1" prompt="Année mise à jour automatiquement en fonction de l’année entrée dans la feuille de calcul Janvier" sqref="AH4" xr:uid="{00000000-0002-0000-0A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A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A00-00000E000000}">
          <x14:formula1>
            <xm:f>'Noms des employés'!$B$4:$B$8</xm:f>
          </x14:formula1>
          <xm:sqref>B7:B16</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tabColor theme="7" tint="0.79998168889431442"/>
  </sheetPr>
  <dimension ref="B1:AH17"/>
  <sheetViews>
    <sheetView showGridLines="0" topLeftCell="A22" zoomScaleNormal="100" workbookViewId="0">
      <selection activeCell="B22" sqref="B22"/>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8" t="s">
        <v>12</v>
      </c>
      <c r="E2" s="28"/>
      <c r="F2" s="4" t="s">
        <v>15</v>
      </c>
      <c r="G2" s="28" t="s">
        <v>19</v>
      </c>
      <c r="H2" s="28"/>
      <c r="I2" s="28"/>
      <c r="J2" s="5" t="s">
        <v>17</v>
      </c>
      <c r="K2" s="28" t="s">
        <v>24</v>
      </c>
      <c r="L2" s="28"/>
      <c r="M2" s="6"/>
      <c r="N2" s="28" t="s">
        <v>28</v>
      </c>
      <c r="O2" s="28"/>
      <c r="P2" s="28"/>
      <c r="Q2" s="28"/>
      <c r="R2" s="7"/>
      <c r="S2" s="28" t="s">
        <v>33</v>
      </c>
      <c r="T2" s="28"/>
      <c r="U2" s="28"/>
      <c r="V2" s="28"/>
    </row>
    <row r="3" spans="2:34" ht="15" customHeight="1" x14ac:dyDescent="0.25">
      <c r="B3" s="12"/>
    </row>
    <row r="4" spans="2:34" ht="30" customHeight="1" x14ac:dyDescent="0.25">
      <c r="B4" s="10" t="s">
        <v>63</v>
      </c>
      <c r="C4" s="27" t="s">
        <v>10</v>
      </c>
      <c r="D4" s="27"/>
      <c r="E4" s="27"/>
      <c r="F4" s="27"/>
      <c r="G4" s="27"/>
      <c r="H4" s="27"/>
      <c r="I4" s="27"/>
      <c r="J4" s="27"/>
      <c r="K4" s="27"/>
      <c r="L4" s="27"/>
      <c r="M4" s="27"/>
      <c r="N4" s="27"/>
      <c r="O4" s="27"/>
      <c r="P4" s="27"/>
      <c r="Q4" s="27"/>
      <c r="R4" s="27"/>
      <c r="S4" s="27"/>
      <c r="T4" s="27"/>
      <c r="U4" s="27"/>
      <c r="V4" s="27"/>
      <c r="W4" s="27"/>
      <c r="X4" s="27"/>
      <c r="Y4" s="27"/>
      <c r="Z4" s="27"/>
      <c r="AA4" s="27"/>
      <c r="AB4" s="27"/>
      <c r="AC4" s="27"/>
      <c r="AD4" s="27"/>
      <c r="AE4" s="27"/>
      <c r="AF4" s="27"/>
      <c r="AG4" s="27"/>
      <c r="AH4" s="10">
        <f>AnnéeCalendrier</f>
        <v>2023</v>
      </c>
    </row>
    <row r="5" spans="2:34" ht="15" customHeight="1" x14ac:dyDescent="0.25">
      <c r="B5" s="10"/>
      <c r="C5" s="2" t="str">
        <f>TEXT(WEEKDAY(DATE(AnnéeCalendrier,12,1),1),"jjj")</f>
        <v>ven</v>
      </c>
      <c r="D5" s="2" t="str">
        <f>TEXT(WEEKDAY(DATE(AnnéeCalendrier,12,2),1),"jjj")</f>
        <v>sam</v>
      </c>
      <c r="E5" s="2" t="str">
        <f>TEXT(WEEKDAY(DATE(AnnéeCalendrier,12,3),1),"jjj")</f>
        <v>dim</v>
      </c>
      <c r="F5" s="2" t="str">
        <f>TEXT(WEEKDAY(DATE(AnnéeCalendrier,12,4),1),"jjj")</f>
        <v>lun</v>
      </c>
      <c r="G5" s="2" t="str">
        <f>TEXT(WEEKDAY(DATE(AnnéeCalendrier,12,5),1),"jjj")</f>
        <v>mar</v>
      </c>
      <c r="H5" s="2" t="str">
        <f>TEXT(WEEKDAY(DATE(AnnéeCalendrier,12,6),1),"jjj")</f>
        <v>mer</v>
      </c>
      <c r="I5" s="2" t="str">
        <f>TEXT(WEEKDAY(DATE(AnnéeCalendrier,12,7),1),"jjj")</f>
        <v>jeu</v>
      </c>
      <c r="J5" s="2" t="str">
        <f>TEXT(WEEKDAY(DATE(AnnéeCalendrier,12,8),1),"jjj")</f>
        <v>ven</v>
      </c>
      <c r="K5" s="2" t="str">
        <f>TEXT(WEEKDAY(DATE(AnnéeCalendrier,12,9),1),"jjj")</f>
        <v>sam</v>
      </c>
      <c r="L5" s="2" t="str">
        <f>TEXT(WEEKDAY(DATE(AnnéeCalendrier,12,10),1),"jjj")</f>
        <v>dim</v>
      </c>
      <c r="M5" s="2" t="str">
        <f>TEXT(WEEKDAY(DATE(AnnéeCalendrier,12,11),1),"jjj")</f>
        <v>lun</v>
      </c>
      <c r="N5" s="2" t="str">
        <f>TEXT(WEEKDAY(DATE(AnnéeCalendrier,12,12),1),"jjj")</f>
        <v>mar</v>
      </c>
      <c r="O5" s="2" t="str">
        <f>TEXT(WEEKDAY(DATE(AnnéeCalendrier,12,13),1),"jjj")</f>
        <v>mer</v>
      </c>
      <c r="P5" s="2" t="str">
        <f>TEXT(WEEKDAY(DATE(AnnéeCalendrier,12,14),1),"jjj")</f>
        <v>jeu</v>
      </c>
      <c r="Q5" s="2" t="str">
        <f>TEXT(WEEKDAY(DATE(AnnéeCalendrier,12,15),1),"jjj")</f>
        <v>ven</v>
      </c>
      <c r="R5" s="2" t="str">
        <f>TEXT(WEEKDAY(DATE(AnnéeCalendrier,12,16),1),"jjj")</f>
        <v>sam</v>
      </c>
      <c r="S5" s="2" t="str">
        <f>TEXT(WEEKDAY(DATE(AnnéeCalendrier,12,17),1),"jjj")</f>
        <v>dim</v>
      </c>
      <c r="T5" s="2" t="str">
        <f>TEXT(WEEKDAY(DATE(AnnéeCalendrier,12,18),1),"jjj")</f>
        <v>lun</v>
      </c>
      <c r="U5" s="2" t="str">
        <f>TEXT(WEEKDAY(DATE(AnnéeCalendrier,12,19),1),"jjj")</f>
        <v>mar</v>
      </c>
      <c r="V5" s="2" t="str">
        <f>TEXT(WEEKDAY(DATE(AnnéeCalendrier,12,20),1),"jjj")</f>
        <v>mer</v>
      </c>
      <c r="W5" s="2" t="str">
        <f>TEXT(WEEKDAY(DATE(AnnéeCalendrier,12,21),1),"jjj")</f>
        <v>jeu</v>
      </c>
      <c r="X5" s="2" t="str">
        <f>TEXT(WEEKDAY(DATE(AnnéeCalendrier,12,22),1),"jjj")</f>
        <v>ven</v>
      </c>
      <c r="Y5" s="2" t="str">
        <f>TEXT(WEEKDAY(DATE(AnnéeCalendrier,12,23),1),"jjj")</f>
        <v>sam</v>
      </c>
      <c r="Z5" s="2" t="str">
        <f>TEXT(WEEKDAY(DATE(AnnéeCalendrier,12,24),1),"jjj")</f>
        <v>dim</v>
      </c>
      <c r="AA5" s="2" t="str">
        <f>TEXT(WEEKDAY(DATE(AnnéeCalendrier,12,25),1),"jjj")</f>
        <v>lun</v>
      </c>
      <c r="AB5" s="2" t="str">
        <f>TEXT(WEEKDAY(DATE(AnnéeCalendrier,12,26),1),"jjj")</f>
        <v>mar</v>
      </c>
      <c r="AC5" s="2" t="str">
        <f>TEXT(WEEKDAY(DATE(AnnéeCalendrier,12,27),1),"jjj")</f>
        <v>mer</v>
      </c>
      <c r="AD5" s="2" t="str">
        <f>TEXT(WEEKDAY(DATE(AnnéeCalendrier,12,28),1),"jjj")</f>
        <v>jeu</v>
      </c>
      <c r="AE5" s="2" t="str">
        <f>TEXT(WEEKDAY(DATE(AnnéeCalendrier,12,29),1),"jjj")</f>
        <v>ven</v>
      </c>
      <c r="AF5" s="2" t="str">
        <f>TEXT(WEEKDAY(DATE(AnnéeCalendrier,12,30),1),"jjj")</f>
        <v>sam</v>
      </c>
      <c r="AG5" s="2" t="str">
        <f>TEXT(WEEKDAY(DATE(AnnéeCalendrier,12,31),1),"jjj")</f>
        <v>dim</v>
      </c>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COUNTA(Décembre[[#This Row],[1]:[31]])</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COUNTA(Décembre[[#This Row],[1]:[31]])</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COUNTA(Décembre[[#This Row],[1]:[31]])</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COUNTA(Décembre[[#This Row],[1]:[31]])</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COUNTA(Décembre[[#This Row],[1]:[31]])</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COUNTA(Décembre[[#This Row],[1]:[31]])</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COUNTA(Décembre[[#This Row],[1]:[31]])</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COUNTA(Décembre[[#This Row],[1]:[31]])</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COUNTA(Décembre[[#This Row],[1]:[31]])</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COUNTA(Décembre[[#This Row],[1]:[31]])</f>
        <v>0</v>
      </c>
    </row>
    <row r="17" spans="2:34" ht="30" customHeight="1" x14ac:dyDescent="0.25">
      <c r="B17" s="18" t="str">
        <f>NomMois&amp;" Total"</f>
        <v>Décembre Total</v>
      </c>
      <c r="C17" s="11">
        <f>SUBTOTAL(103,Décembre[1])</f>
        <v>0</v>
      </c>
      <c r="D17" s="11">
        <f>SUBTOTAL(103,Décembre[2])</f>
        <v>0</v>
      </c>
      <c r="E17" s="11">
        <f>SUBTOTAL(103,Décembre[3])</f>
        <v>0</v>
      </c>
      <c r="F17" s="11">
        <f>SUBTOTAL(103,Décembre[4])</f>
        <v>0</v>
      </c>
      <c r="G17" s="11">
        <f>SUBTOTAL(103,Décembre[5])</f>
        <v>0</v>
      </c>
      <c r="H17" s="11">
        <f>SUBTOTAL(103,Décembre[6])</f>
        <v>0</v>
      </c>
      <c r="I17" s="11">
        <f>SUBTOTAL(103,Décembre[7])</f>
        <v>0</v>
      </c>
      <c r="J17" s="11">
        <f>SUBTOTAL(103,Décembre[8])</f>
        <v>0</v>
      </c>
      <c r="K17" s="11">
        <f>SUBTOTAL(103,Décembre[9])</f>
        <v>0</v>
      </c>
      <c r="L17" s="11">
        <f>SUBTOTAL(103,Décembre[10])</f>
        <v>0</v>
      </c>
      <c r="M17" s="11">
        <f>SUBTOTAL(103,Décembre[11])</f>
        <v>0</v>
      </c>
      <c r="N17" s="11">
        <f>SUBTOTAL(103,Décembre[12])</f>
        <v>0</v>
      </c>
      <c r="O17" s="11">
        <f>SUBTOTAL(103,Décembre[13])</f>
        <v>0</v>
      </c>
      <c r="P17" s="11">
        <f>SUBTOTAL(103,Décembre[14])</f>
        <v>0</v>
      </c>
      <c r="Q17" s="11">
        <f>SUBTOTAL(103,Décembre[15])</f>
        <v>0</v>
      </c>
      <c r="R17" s="11">
        <f>SUBTOTAL(103,Décembre[16])</f>
        <v>0</v>
      </c>
      <c r="S17" s="11">
        <f>SUBTOTAL(103,Décembre[17])</f>
        <v>0</v>
      </c>
      <c r="T17" s="11">
        <f>SUBTOTAL(103,Décembre[18])</f>
        <v>0</v>
      </c>
      <c r="U17" s="11">
        <f>SUBTOTAL(103,Décembre[19])</f>
        <v>0</v>
      </c>
      <c r="V17" s="11">
        <f>SUBTOTAL(103,Décembre[20])</f>
        <v>0</v>
      </c>
      <c r="W17" s="11">
        <f>SUBTOTAL(103,Décembre[21])</f>
        <v>0</v>
      </c>
      <c r="X17" s="11">
        <f>SUBTOTAL(103,Décembre[22])</f>
        <v>0</v>
      </c>
      <c r="Y17" s="11">
        <f>SUBTOTAL(103,Décembre[23])</f>
        <v>0</v>
      </c>
      <c r="Z17" s="11">
        <f>SUBTOTAL(103,Décembre[24])</f>
        <v>0</v>
      </c>
      <c r="AA17" s="11">
        <f>SUBTOTAL(103,Décembre[25])</f>
        <v>0</v>
      </c>
      <c r="AB17" s="11">
        <f>SUBTOTAL(103,Décembre[26])</f>
        <v>0</v>
      </c>
      <c r="AC17" s="11">
        <f>SUBTOTAL(103,Décembre[27])</f>
        <v>0</v>
      </c>
      <c r="AD17" s="11">
        <f>SUBTOTAL(103,Décembre[28])</f>
        <v>0</v>
      </c>
      <c r="AE17" s="11">
        <f>SUBTOTAL(103,Décembre[29])</f>
        <v>0</v>
      </c>
      <c r="AF17" s="11">
        <f>SUBTOTAL(103,Décembre[30])</f>
        <v>0</v>
      </c>
      <c r="AG17" s="11">
        <f>SUBTOTAL(103,Décembre[31])</f>
        <v>0</v>
      </c>
      <c r="AH17" s="11">
        <f>SUBTOTAL(109,Décembre[Total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124" priority="2" stopIfTrue="1">
      <formula>C7=CléPersonnalisée2</formula>
    </cfRule>
    <cfRule type="expression" dxfId="123" priority="3" stopIfTrue="1">
      <formula>C7=CléPersonnalisée1</formula>
    </cfRule>
    <cfRule type="expression" dxfId="122" priority="4" stopIfTrue="1">
      <formula>C7=CléMaladie</formula>
    </cfRule>
    <cfRule type="expression" dxfId="121" priority="5" stopIfTrue="1">
      <formula>C7=CléPersonnel</formula>
    </cfRule>
    <cfRule type="expression" dxfId="120" priority="6" stopIfTrue="1">
      <formula>C7=CléCongé</formula>
    </cfRule>
  </conditionalFormatting>
  <conditionalFormatting sqref="AH7:AH16">
    <cfRule type="dataBar" priority="325">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Année mise à jour automatiquement en fonction de l’année entrée dans la feuille de calcul Janvier" sqref="AH4" xr:uid="{00000000-0002-0000-0B00-000000000000}"/>
    <dataValidation allowBlank="1" showInputMessage="1" showErrorMessage="1" prompt="Calcule automatiquement le nombre total de jours d’absence d’un employé durant ce mois dans cette colonne" sqref="AH6" xr:uid="{00000000-0002-0000-0B00-000001000000}"/>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B00-000003000000}"/>
    <dataValidation allowBlank="1" showInputMessage="1" showErrorMessage="1" prompt="Le titre mis à jour automatiquement figure dans cette cellule. Pour modifier le titre, mettez à jour la cellule B1 de la feuille de calcul Janvier" sqref="B1" xr:uid="{00000000-0002-0000-0B00-000004000000}"/>
    <dataValidation allowBlank="1" showInputMessage="1" showErrorMessage="1" prompt="La lettre « C » indique une absence pour cause de congé" sqref="C2" xr:uid="{00000000-0002-0000-0B00-000005000000}"/>
    <dataValidation allowBlank="1" showInputMessage="1" showErrorMessage="1" prompt="La lettre « P » indique une absence pour motifs personnels" sqref="F2" xr:uid="{00000000-0002-0000-0B00-000006000000}"/>
    <dataValidation allowBlank="1" showInputMessage="1" showErrorMessage="1" prompt="La lettre « M » indique une absence pour cause de maladie" sqref="J2" xr:uid="{00000000-0002-0000-0B00-000007000000}"/>
    <dataValidation allowBlank="1" showInputMessage="1" showErrorMessage="1" prompt="Entrez une lettre et personnalisez l’étiquette à droite pour ajouter un élément de clé" sqref="M2 R2" xr:uid="{00000000-0002-0000-0B00-000008000000}"/>
    <dataValidation allowBlank="1" showInputMessage="1" showErrorMessage="1" prompt="Entrez une étiquette pour décrire la clé personnalisée à gauche" sqref="N2 S2" xr:uid="{00000000-0002-0000-0B00-000009000000}"/>
    <dataValidation allowBlank="1" showInputMessage="1" showErrorMessage="1" prompt="Cette ligne définit les clés utilisées dans le tableau : Congé en C2, Personnel en F2 et Congé maladie en J2. Les cellules M2 et R2 sont personnalisables" sqref="B2" xr:uid="{00000000-0002-0000-0B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B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B00-00000E000000}">
          <x14:formula1>
            <xm:f>'Noms des employés'!$B$4:$B$8</xm:f>
          </x14:formula1>
          <xm:sqref>B7:B16</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tabColor theme="1"/>
  </sheetPr>
  <dimension ref="B1:B50"/>
  <sheetViews>
    <sheetView showGridLines="0" topLeftCell="A31" workbookViewId="0">
      <selection activeCell="D44" sqref="D44"/>
    </sheetView>
  </sheetViews>
  <sheetFormatPr baseColWidth="10" defaultColWidth="9.140625" defaultRowHeight="30" customHeight="1" x14ac:dyDescent="0.25"/>
  <cols>
    <col min="1" max="1" width="2.7109375" customWidth="1"/>
    <col min="2" max="2" width="30.7109375" customWidth="1"/>
    <col min="3" max="3" width="2.7109375" customWidth="1"/>
  </cols>
  <sheetData>
    <row r="1" spans="2:2" ht="50.1" customHeight="1" x14ac:dyDescent="0.25">
      <c r="B1" s="19" t="s">
        <v>64</v>
      </c>
    </row>
    <row r="2" spans="2:2" ht="15" customHeight="1" x14ac:dyDescent="0.25"/>
    <row r="3" spans="2:2" ht="30" customHeight="1" x14ac:dyDescent="0.25">
      <c r="B3" t="s">
        <v>64</v>
      </c>
    </row>
    <row r="4" spans="2:2" ht="30" customHeight="1" x14ac:dyDescent="0.25">
      <c r="B4" s="26" t="s">
        <v>79</v>
      </c>
    </row>
    <row r="5" spans="2:2" ht="30" customHeight="1" x14ac:dyDescent="0.25">
      <c r="B5" s="26" t="s">
        <v>80</v>
      </c>
    </row>
    <row r="6" spans="2:2" ht="30" customHeight="1" x14ac:dyDescent="0.25">
      <c r="B6" s="26" t="s">
        <v>81</v>
      </c>
    </row>
    <row r="7" spans="2:2" ht="30" customHeight="1" x14ac:dyDescent="0.25">
      <c r="B7" s="26" t="s">
        <v>82</v>
      </c>
    </row>
    <row r="8" spans="2:2" ht="30" customHeight="1" x14ac:dyDescent="0.25">
      <c r="B8" s="26" t="s">
        <v>83</v>
      </c>
    </row>
    <row r="9" spans="2:2" ht="30" customHeight="1" x14ac:dyDescent="0.25">
      <c r="B9" s="26" t="s">
        <v>84</v>
      </c>
    </row>
    <row r="10" spans="2:2" ht="30" customHeight="1" x14ac:dyDescent="0.25">
      <c r="B10" s="26" t="s">
        <v>85</v>
      </c>
    </row>
    <row r="11" spans="2:2" ht="30" customHeight="1" x14ac:dyDescent="0.25">
      <c r="B11" s="26" t="s">
        <v>86</v>
      </c>
    </row>
    <row r="12" spans="2:2" ht="30" customHeight="1" x14ac:dyDescent="0.25">
      <c r="B12" s="26" t="s">
        <v>87</v>
      </c>
    </row>
    <row r="13" spans="2:2" ht="30" customHeight="1" x14ac:dyDescent="0.25">
      <c r="B13" s="26" t="s">
        <v>88</v>
      </c>
    </row>
    <row r="14" spans="2:2" ht="30" customHeight="1" x14ac:dyDescent="0.25">
      <c r="B14" s="26" t="s">
        <v>89</v>
      </c>
    </row>
    <row r="15" spans="2:2" ht="30" customHeight="1" x14ac:dyDescent="0.25">
      <c r="B15" s="26" t="s">
        <v>90</v>
      </c>
    </row>
    <row r="16" spans="2:2" ht="30" customHeight="1" x14ac:dyDescent="0.25">
      <c r="B16" s="26" t="s">
        <v>91</v>
      </c>
    </row>
    <row r="17" spans="2:2" ht="30" customHeight="1" x14ac:dyDescent="0.25">
      <c r="B17" s="26" t="s">
        <v>92</v>
      </c>
    </row>
    <row r="18" spans="2:2" ht="30" customHeight="1" x14ac:dyDescent="0.25">
      <c r="B18" s="26" t="s">
        <v>93</v>
      </c>
    </row>
    <row r="19" spans="2:2" ht="30" customHeight="1" x14ac:dyDescent="0.25">
      <c r="B19" s="26" t="s">
        <v>94</v>
      </c>
    </row>
    <row r="20" spans="2:2" ht="30" customHeight="1" x14ac:dyDescent="0.25">
      <c r="B20" s="26" t="s">
        <v>95</v>
      </c>
    </row>
    <row r="21" spans="2:2" ht="30" customHeight="1" x14ac:dyDescent="0.25">
      <c r="B21" s="26" t="s">
        <v>96</v>
      </c>
    </row>
    <row r="22" spans="2:2" ht="30" customHeight="1" x14ac:dyDescent="0.25">
      <c r="B22" s="26" t="s">
        <v>97</v>
      </c>
    </row>
    <row r="23" spans="2:2" ht="30" customHeight="1" x14ac:dyDescent="0.25">
      <c r="B23" s="26" t="s">
        <v>98</v>
      </c>
    </row>
    <row r="24" spans="2:2" ht="30" customHeight="1" x14ac:dyDescent="0.25">
      <c r="B24" s="26" t="s">
        <v>99</v>
      </c>
    </row>
    <row r="25" spans="2:2" ht="30" customHeight="1" x14ac:dyDescent="0.25">
      <c r="B25" s="26" t="s">
        <v>100</v>
      </c>
    </row>
    <row r="26" spans="2:2" ht="30" customHeight="1" x14ac:dyDescent="0.25">
      <c r="B26" s="26" t="s">
        <v>101</v>
      </c>
    </row>
    <row r="27" spans="2:2" ht="30" customHeight="1" x14ac:dyDescent="0.25">
      <c r="B27" s="26" t="s">
        <v>102</v>
      </c>
    </row>
    <row r="28" spans="2:2" ht="30" customHeight="1" x14ac:dyDescent="0.25">
      <c r="B28" s="26" t="s">
        <v>103</v>
      </c>
    </row>
    <row r="29" spans="2:2" ht="30" customHeight="1" x14ac:dyDescent="0.25">
      <c r="B29" s="26" t="s">
        <v>104</v>
      </c>
    </row>
    <row r="30" spans="2:2" ht="30" customHeight="1" x14ac:dyDescent="0.25">
      <c r="B30" s="26" t="s">
        <v>105</v>
      </c>
    </row>
    <row r="31" spans="2:2" ht="30" customHeight="1" x14ac:dyDescent="0.25">
      <c r="B31" s="26" t="s">
        <v>106</v>
      </c>
    </row>
    <row r="32" spans="2:2" ht="30" customHeight="1" x14ac:dyDescent="0.25">
      <c r="B32" s="26" t="s">
        <v>107</v>
      </c>
    </row>
    <row r="33" spans="2:2" ht="30" customHeight="1" x14ac:dyDescent="0.25">
      <c r="B33" s="26" t="s">
        <v>108</v>
      </c>
    </row>
    <row r="34" spans="2:2" ht="30" customHeight="1" x14ac:dyDescent="0.25">
      <c r="B34" s="26" t="s">
        <v>109</v>
      </c>
    </row>
    <row r="35" spans="2:2" ht="30" customHeight="1" x14ac:dyDescent="0.25">
      <c r="B35" s="26" t="s">
        <v>110</v>
      </c>
    </row>
    <row r="36" spans="2:2" ht="30" customHeight="1" x14ac:dyDescent="0.25">
      <c r="B36" s="26" t="s">
        <v>111</v>
      </c>
    </row>
    <row r="37" spans="2:2" ht="30" customHeight="1" x14ac:dyDescent="0.25">
      <c r="B37" s="26" t="s">
        <v>112</v>
      </c>
    </row>
    <row r="38" spans="2:2" ht="30" customHeight="1" x14ac:dyDescent="0.25">
      <c r="B38" s="26" t="s">
        <v>113</v>
      </c>
    </row>
    <row r="39" spans="2:2" ht="30" customHeight="1" x14ac:dyDescent="0.25">
      <c r="B39" s="26" t="s">
        <v>114</v>
      </c>
    </row>
    <row r="40" spans="2:2" ht="30" customHeight="1" x14ac:dyDescent="0.25">
      <c r="B40" s="1"/>
    </row>
    <row r="41" spans="2:2" ht="30" customHeight="1" x14ac:dyDescent="0.25">
      <c r="B41" s="1"/>
    </row>
    <row r="42" spans="2:2" ht="30" customHeight="1" x14ac:dyDescent="0.25">
      <c r="B42" s="1"/>
    </row>
    <row r="43" spans="2:2" ht="30" customHeight="1" x14ac:dyDescent="0.25">
      <c r="B43" s="1"/>
    </row>
    <row r="44" spans="2:2" ht="30" customHeight="1" x14ac:dyDescent="0.25">
      <c r="B44" s="1"/>
    </row>
    <row r="45" spans="2:2" ht="30" customHeight="1" x14ac:dyDescent="0.25">
      <c r="B45" s="1"/>
    </row>
    <row r="46" spans="2:2" ht="30" customHeight="1" x14ac:dyDescent="0.25">
      <c r="B46" s="1"/>
    </row>
    <row r="47" spans="2:2" ht="30" customHeight="1" x14ac:dyDescent="0.25">
      <c r="B47" s="1"/>
    </row>
    <row r="48" spans="2:2" ht="30" customHeight="1" x14ac:dyDescent="0.25">
      <c r="B48" s="1"/>
    </row>
    <row r="49" spans="2:2" ht="30" customHeight="1" x14ac:dyDescent="0.25">
      <c r="B49" s="1"/>
    </row>
    <row r="50" spans="2:2" ht="30" customHeight="1" x14ac:dyDescent="0.25">
      <c r="B50" s="1"/>
    </row>
  </sheetData>
  <phoneticPr fontId="19" type="noConversion"/>
  <dataValidations count="3">
    <dataValidation allowBlank="1" showInputMessage="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5AA7316E-33F3-4023-A20E-D915E1C81D7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55</vt:i4>
      </vt:variant>
    </vt:vector>
  </HeadingPairs>
  <TitlesOfParts>
    <vt:vector size="68"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CléAbsence</vt:lpstr>
      <vt:lpstr>CléAbsenceinjust</vt:lpstr>
      <vt:lpstr>CléAbsencejustif</vt:lpstr>
      <vt:lpstr>CléAccident</vt:lpstr>
      <vt:lpstr>CléCongé</vt:lpstr>
      <vt:lpstr>CléMaladie.</vt:lpstr>
      <vt:lpstr>ÉtiquetteClé</vt:lpstr>
      <vt:lpstr>ÉtiquetteCléAbsenceinjust</vt:lpstr>
      <vt:lpstr>ÉtiquetteCléAbsencejustif</vt:lpstr>
      <vt:lpstr>ÉtiquetteCléAccident</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William Talas</dc:creator>
  <cp:lastModifiedBy>Bruno</cp:lastModifiedBy>
  <dcterms:created xsi:type="dcterms:W3CDTF">2016-12-06T04:52:27Z</dcterms:created>
  <dcterms:modified xsi:type="dcterms:W3CDTF">2023-03-08T13:03:00Z</dcterms:modified>
</cp:coreProperties>
</file>