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Documents\RéponseForum\"/>
    </mc:Choice>
  </mc:AlternateContent>
  <bookViews>
    <workbookView xWindow="0" yWindow="0" windowWidth="24000" windowHeight="9630" firstSheet="1" activeTab="2"/>
  </bookViews>
  <sheets>
    <sheet name="Sheet1" sheetId="1" state="hidden" r:id="rId1"/>
    <sheet name="Overview" sheetId="2" r:id="rId2"/>
    <sheet name="Italy" sheetId="10" r:id="rId3"/>
    <sheet name="Raw CSG Italy SnS" sheetId="9" state="hidden" r:id="rId4"/>
    <sheet name="RAW CSG BLX SnS" sheetId="8" state="hidden" r:id="rId5"/>
    <sheet name="Raw CSG WER SnS" sheetId="7" state="hidden" r:id="rId6"/>
    <sheet name="Raw CSG Country SnS" sheetId="6" state="hidden" r:id="rId7"/>
    <sheet name="Raw Commercial Region SnS+B2B" sheetId="5" state="hidden" r:id="rId8"/>
    <sheet name="Raw Commercial Country SnS+B2B" sheetId="4" state="hidden" r:id="rId9"/>
  </sheets>
  <definedNames>
    <definedName name="_xlnm._FilterDatabase" localSheetId="8" hidden="1">'Raw Commercial Country SnS+B2B'!$A$1:$I$43</definedName>
    <definedName name="_xlnm._FilterDatabase" localSheetId="7" hidden="1">'Raw Commercial Region SnS+B2B'!$A$1:$H$50</definedName>
    <definedName name="_xlnm._FilterDatabase" localSheetId="6" hidden="1">'Raw CSG Country SnS'!$A$1:$H$651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6" i="10" l="1"/>
  <c r="M6" i="10"/>
  <c r="B13" i="10"/>
  <c r="B15" i="10" l="1"/>
  <c r="B14" i="10"/>
  <c r="S7" i="10"/>
  <c r="S8" i="10"/>
  <c r="S9" i="10"/>
  <c r="S10" i="10"/>
  <c r="N7" i="10"/>
  <c r="N8" i="10"/>
  <c r="N9" i="10"/>
  <c r="N10" i="10"/>
  <c r="S6" i="10"/>
  <c r="K7" i="10"/>
  <c r="K8" i="10"/>
  <c r="K9" i="10"/>
  <c r="K10" i="10"/>
  <c r="N6" i="10"/>
  <c r="X35" i="2"/>
  <c r="V35" i="2"/>
  <c r="Q35" i="2"/>
  <c r="M35" i="2"/>
  <c r="L35" i="2"/>
  <c r="O35" i="2" s="1"/>
  <c r="J35" i="2"/>
  <c r="I35" i="2"/>
  <c r="P35" i="2" s="1"/>
  <c r="H35" i="2"/>
  <c r="G35" i="2"/>
  <c r="F35" i="2"/>
  <c r="E35" i="2"/>
  <c r="D35" i="2"/>
  <c r="C35" i="2"/>
  <c r="X34" i="2"/>
  <c r="V34" i="2"/>
  <c r="Q34" i="2"/>
  <c r="T34" i="2" s="1"/>
  <c r="O34" i="2"/>
  <c r="L34" i="2"/>
  <c r="M34" i="2" s="1"/>
  <c r="J34" i="2"/>
  <c r="I34" i="2"/>
  <c r="P34" i="2" s="1"/>
  <c r="H34" i="2"/>
  <c r="G34" i="2"/>
  <c r="F34" i="2"/>
  <c r="E34" i="2"/>
  <c r="D34" i="2"/>
  <c r="C34" i="2"/>
  <c r="X33" i="2"/>
  <c r="V33" i="2"/>
  <c r="Q33" i="2"/>
  <c r="T33" i="2" s="1"/>
  <c r="P33" i="2"/>
  <c r="M33" i="2"/>
  <c r="L33" i="2"/>
  <c r="O33" i="2" s="1"/>
  <c r="J33" i="2"/>
  <c r="I33" i="2"/>
  <c r="H33" i="2"/>
  <c r="G33" i="2"/>
  <c r="F33" i="2"/>
  <c r="E33" i="2"/>
  <c r="D33" i="2"/>
  <c r="C33" i="2"/>
  <c r="X32" i="2"/>
  <c r="V32" i="2"/>
  <c r="Q32" i="2"/>
  <c r="T32" i="2" s="1"/>
  <c r="P32" i="2"/>
  <c r="O32" i="2"/>
  <c r="L32" i="2"/>
  <c r="M32" i="2" s="1"/>
  <c r="J32" i="2"/>
  <c r="I32" i="2"/>
  <c r="H32" i="2"/>
  <c r="G32" i="2"/>
  <c r="F32" i="2"/>
  <c r="E32" i="2"/>
  <c r="D32" i="2"/>
  <c r="C32" i="2"/>
  <c r="X31" i="2"/>
  <c r="V31" i="2"/>
  <c r="R31" i="2"/>
  <c r="Q31" i="2"/>
  <c r="T31" i="2" s="1"/>
  <c r="P31" i="2"/>
  <c r="L31" i="2"/>
  <c r="O31" i="2" s="1"/>
  <c r="J31" i="2"/>
  <c r="I31" i="2"/>
  <c r="H31" i="2"/>
  <c r="G31" i="2"/>
  <c r="F31" i="2"/>
  <c r="E31" i="2"/>
  <c r="D31" i="2"/>
  <c r="C31" i="2"/>
  <c r="C36" i="2"/>
  <c r="D36" i="2"/>
  <c r="E36" i="2"/>
  <c r="F36" i="2"/>
  <c r="G36" i="2"/>
  <c r="H36" i="2"/>
  <c r="I36" i="2"/>
  <c r="J36" i="2"/>
  <c r="L36" i="2"/>
  <c r="M36" i="2"/>
  <c r="O36" i="2"/>
  <c r="P36" i="2"/>
  <c r="T36" i="2" s="1"/>
  <c r="Q36" i="2"/>
  <c r="R36" i="2"/>
  <c r="V36" i="2"/>
  <c r="X36" i="2"/>
  <c r="X10" i="10"/>
  <c r="V10" i="10"/>
  <c r="Q10" i="10"/>
  <c r="L10" i="10"/>
  <c r="J10" i="10"/>
  <c r="I10" i="10"/>
  <c r="P10" i="10" s="1"/>
  <c r="H10" i="10"/>
  <c r="G10" i="10"/>
  <c r="F10" i="10"/>
  <c r="E10" i="10"/>
  <c r="D10" i="10"/>
  <c r="C10" i="10"/>
  <c r="X9" i="10"/>
  <c r="V9" i="10"/>
  <c r="Q9" i="10"/>
  <c r="T9" i="10" s="1"/>
  <c r="L9" i="10"/>
  <c r="M9" i="10" s="1"/>
  <c r="J9" i="10"/>
  <c r="I9" i="10"/>
  <c r="P9" i="10" s="1"/>
  <c r="H9" i="10"/>
  <c r="G9" i="10"/>
  <c r="F9" i="10"/>
  <c r="E9" i="10"/>
  <c r="D9" i="10"/>
  <c r="C9" i="10"/>
  <c r="X8" i="10"/>
  <c r="V8" i="10"/>
  <c r="Q8" i="10"/>
  <c r="L8" i="10"/>
  <c r="O8" i="10" s="1"/>
  <c r="J8" i="10"/>
  <c r="I8" i="10"/>
  <c r="P8" i="10" s="1"/>
  <c r="H8" i="10"/>
  <c r="G8" i="10"/>
  <c r="F8" i="10"/>
  <c r="E8" i="10"/>
  <c r="D8" i="10"/>
  <c r="C8" i="10"/>
  <c r="X7" i="10"/>
  <c r="V7" i="10"/>
  <c r="Q7" i="10"/>
  <c r="L7" i="10"/>
  <c r="J7" i="10"/>
  <c r="I7" i="10"/>
  <c r="P7" i="10" s="1"/>
  <c r="H7" i="10"/>
  <c r="G7" i="10"/>
  <c r="F7" i="10"/>
  <c r="E7" i="10"/>
  <c r="D7" i="10"/>
  <c r="C7" i="10"/>
  <c r="X6" i="10"/>
  <c r="V6" i="10"/>
  <c r="Q6" i="10"/>
  <c r="L6" i="10"/>
  <c r="O6" i="10" s="1"/>
  <c r="J6" i="10"/>
  <c r="I6" i="10"/>
  <c r="P6" i="10" s="1"/>
  <c r="H6" i="10"/>
  <c r="G6" i="10"/>
  <c r="F6" i="10"/>
  <c r="E6" i="10"/>
  <c r="D6" i="10"/>
  <c r="C6" i="10"/>
  <c r="M11" i="2"/>
  <c r="M12" i="2"/>
  <c r="M13" i="2"/>
  <c r="O10" i="10" l="1"/>
  <c r="M7" i="10"/>
  <c r="T35" i="2"/>
  <c r="R32" i="2"/>
  <c r="R33" i="2"/>
  <c r="R34" i="2"/>
  <c r="M31" i="2"/>
  <c r="R35" i="2"/>
  <c r="O7" i="10"/>
  <c r="T6" i="10"/>
  <c r="M8" i="10"/>
  <c r="T8" i="10"/>
  <c r="M10" i="10"/>
  <c r="T7" i="10"/>
  <c r="R6" i="10"/>
  <c r="O9" i="10"/>
  <c r="T10" i="10"/>
  <c r="R7" i="10"/>
  <c r="R8" i="10"/>
  <c r="R9" i="10"/>
  <c r="R10" i="10"/>
  <c r="L6" i="2"/>
  <c r="C14" i="2"/>
  <c r="D14" i="2"/>
  <c r="E14" i="2"/>
  <c r="F14" i="2"/>
  <c r="G14" i="2"/>
  <c r="H14" i="2"/>
  <c r="I14" i="2"/>
  <c r="P14" i="2" s="1"/>
  <c r="J14" i="2"/>
  <c r="L14" i="2"/>
  <c r="O14" i="2" s="1"/>
  <c r="Q14" i="2"/>
  <c r="V14" i="2"/>
  <c r="X14" i="2"/>
  <c r="M15" i="2"/>
  <c r="O15" i="2"/>
  <c r="P15" i="2"/>
  <c r="M16" i="2"/>
  <c r="O16" i="2"/>
  <c r="P16" i="2"/>
  <c r="R16" i="2" s="1"/>
  <c r="M17" i="2"/>
  <c r="O17" i="2"/>
  <c r="P17" i="2"/>
  <c r="C18" i="2"/>
  <c r="D18" i="2"/>
  <c r="E18" i="2"/>
  <c r="F18" i="2"/>
  <c r="G18" i="2"/>
  <c r="H18" i="2"/>
  <c r="I18" i="2"/>
  <c r="P18" i="2" s="1"/>
  <c r="J18" i="2"/>
  <c r="L18" i="2"/>
  <c r="O18" i="2" s="1"/>
  <c r="Q18" i="2"/>
  <c r="V18" i="2"/>
  <c r="X18" i="2"/>
  <c r="C19" i="2"/>
  <c r="D19" i="2"/>
  <c r="E19" i="2"/>
  <c r="F19" i="2"/>
  <c r="G19" i="2"/>
  <c r="H19" i="2"/>
  <c r="I19" i="2"/>
  <c r="P19" i="2" s="1"/>
  <c r="J19" i="2"/>
  <c r="L19" i="2"/>
  <c r="O19" i="2" s="1"/>
  <c r="M19" i="2"/>
  <c r="Q19" i="2"/>
  <c r="V19" i="2"/>
  <c r="X19" i="2"/>
  <c r="C20" i="2"/>
  <c r="D20" i="2"/>
  <c r="E20" i="2"/>
  <c r="F20" i="2"/>
  <c r="G20" i="2"/>
  <c r="H20" i="2"/>
  <c r="I20" i="2"/>
  <c r="P20" i="2" s="1"/>
  <c r="T20" i="2" s="1"/>
  <c r="J20" i="2"/>
  <c r="L20" i="2"/>
  <c r="O20" i="2" s="1"/>
  <c r="Q20" i="2"/>
  <c r="V20" i="2"/>
  <c r="X20" i="2"/>
  <c r="C21" i="2"/>
  <c r="D21" i="2"/>
  <c r="E21" i="2"/>
  <c r="F21" i="2"/>
  <c r="G21" i="2"/>
  <c r="H21" i="2"/>
  <c r="I21" i="2"/>
  <c r="P21" i="2" s="1"/>
  <c r="J21" i="2"/>
  <c r="L21" i="2"/>
  <c r="O21" i="2" s="1"/>
  <c r="Q21" i="2"/>
  <c r="V21" i="2"/>
  <c r="X21" i="2"/>
  <c r="C22" i="2"/>
  <c r="D22" i="2"/>
  <c r="E22" i="2"/>
  <c r="F22" i="2"/>
  <c r="G22" i="2"/>
  <c r="H22" i="2"/>
  <c r="I22" i="2"/>
  <c r="P22" i="2" s="1"/>
  <c r="J22" i="2"/>
  <c r="L22" i="2"/>
  <c r="O22" i="2" s="1"/>
  <c r="Q22" i="2"/>
  <c r="V22" i="2"/>
  <c r="X22" i="2"/>
  <c r="C23" i="2"/>
  <c r="D23" i="2"/>
  <c r="E23" i="2"/>
  <c r="F23" i="2"/>
  <c r="G23" i="2"/>
  <c r="H23" i="2"/>
  <c r="I23" i="2"/>
  <c r="P23" i="2" s="1"/>
  <c r="J23" i="2"/>
  <c r="L23" i="2"/>
  <c r="O23" i="2" s="1"/>
  <c r="Q23" i="2"/>
  <c r="V23" i="2"/>
  <c r="X23" i="2"/>
  <c r="C24" i="2"/>
  <c r="D24" i="2"/>
  <c r="E24" i="2"/>
  <c r="F24" i="2"/>
  <c r="G24" i="2"/>
  <c r="H24" i="2"/>
  <c r="I24" i="2"/>
  <c r="P24" i="2" s="1"/>
  <c r="J24" i="2"/>
  <c r="L24" i="2"/>
  <c r="O24" i="2" s="1"/>
  <c r="Q24" i="2"/>
  <c r="V24" i="2"/>
  <c r="X24" i="2"/>
  <c r="C25" i="2"/>
  <c r="D25" i="2"/>
  <c r="E25" i="2"/>
  <c r="F25" i="2"/>
  <c r="G25" i="2"/>
  <c r="H25" i="2"/>
  <c r="I25" i="2"/>
  <c r="P25" i="2" s="1"/>
  <c r="J25" i="2"/>
  <c r="L25" i="2"/>
  <c r="O25" i="2" s="1"/>
  <c r="Q25" i="2"/>
  <c r="R25" i="2" s="1"/>
  <c r="V25" i="2"/>
  <c r="X25" i="2"/>
  <c r="C26" i="2"/>
  <c r="D26" i="2"/>
  <c r="E26" i="2"/>
  <c r="F26" i="2"/>
  <c r="G26" i="2"/>
  <c r="H26" i="2"/>
  <c r="I26" i="2"/>
  <c r="P26" i="2" s="1"/>
  <c r="J26" i="2"/>
  <c r="L26" i="2"/>
  <c r="O26" i="2" s="1"/>
  <c r="Q26" i="2"/>
  <c r="V26" i="2"/>
  <c r="X26" i="2"/>
  <c r="C27" i="2"/>
  <c r="D27" i="2"/>
  <c r="E27" i="2"/>
  <c r="F27" i="2"/>
  <c r="G27" i="2"/>
  <c r="H27" i="2"/>
  <c r="I27" i="2"/>
  <c r="P27" i="2" s="1"/>
  <c r="J27" i="2"/>
  <c r="L27" i="2"/>
  <c r="O27" i="2" s="1"/>
  <c r="Q27" i="2"/>
  <c r="V27" i="2"/>
  <c r="X27" i="2"/>
  <c r="C28" i="2"/>
  <c r="D28" i="2"/>
  <c r="E28" i="2"/>
  <c r="F28" i="2"/>
  <c r="G28" i="2"/>
  <c r="H28" i="2"/>
  <c r="I28" i="2"/>
  <c r="P28" i="2" s="1"/>
  <c r="T28" i="2" s="1"/>
  <c r="J28" i="2"/>
  <c r="L28" i="2"/>
  <c r="O28" i="2" s="1"/>
  <c r="Q28" i="2"/>
  <c r="V28" i="2"/>
  <c r="X28" i="2"/>
  <c r="C29" i="2"/>
  <c r="D29" i="2"/>
  <c r="E29" i="2"/>
  <c r="F29" i="2"/>
  <c r="G29" i="2"/>
  <c r="H29" i="2"/>
  <c r="I29" i="2"/>
  <c r="P29" i="2" s="1"/>
  <c r="J29" i="2"/>
  <c r="L29" i="2"/>
  <c r="O29" i="2" s="1"/>
  <c r="Q29" i="2"/>
  <c r="V29" i="2"/>
  <c r="X29" i="2"/>
  <c r="C30" i="2"/>
  <c r="D30" i="2"/>
  <c r="E30" i="2"/>
  <c r="F30" i="2"/>
  <c r="G30" i="2"/>
  <c r="H30" i="2"/>
  <c r="I30" i="2"/>
  <c r="P30" i="2" s="1"/>
  <c r="J30" i="2"/>
  <c r="L30" i="2"/>
  <c r="O30" i="2" s="1"/>
  <c r="Q30" i="2"/>
  <c r="V30" i="2"/>
  <c r="X30" i="2"/>
  <c r="O13" i="2"/>
  <c r="O12" i="2"/>
  <c r="O11" i="2"/>
  <c r="M30" i="2" l="1"/>
  <c r="M6" i="2"/>
  <c r="N6" i="2" s="1"/>
  <c r="M28" i="2"/>
  <c r="R27" i="2"/>
  <c r="R23" i="2"/>
  <c r="R21" i="2"/>
  <c r="R19" i="2"/>
  <c r="T15" i="2"/>
  <c r="R15" i="2"/>
  <c r="M29" i="2"/>
  <c r="T26" i="2"/>
  <c r="T17" i="2"/>
  <c r="R17" i="2"/>
  <c r="R30" i="2"/>
  <c r="T16" i="2"/>
  <c r="R29" i="2"/>
  <c r="T29" i="2"/>
  <c r="R28" i="2"/>
  <c r="R26" i="2"/>
  <c r="R24" i="2"/>
  <c r="R22" i="2"/>
  <c r="R20" i="2"/>
  <c r="R14" i="2"/>
  <c r="R18" i="2"/>
  <c r="T23" i="2"/>
  <c r="M22" i="2"/>
  <c r="M18" i="2"/>
  <c r="M27" i="2"/>
  <c r="M24" i="2"/>
  <c r="M21" i="2"/>
  <c r="M25" i="2"/>
  <c r="T27" i="2"/>
  <c r="T21" i="2"/>
  <c r="M14" i="2"/>
  <c r="M26" i="2"/>
  <c r="T25" i="2"/>
  <c r="M23" i="2"/>
  <c r="M20" i="2"/>
  <c r="T22" i="2"/>
  <c r="T18" i="2"/>
  <c r="T19" i="2"/>
  <c r="T30" i="2"/>
  <c r="T24" i="2"/>
  <c r="T14" i="2"/>
  <c r="P11" i="2" l="1"/>
  <c r="R11" i="2" s="1"/>
  <c r="P12" i="2"/>
  <c r="R12" i="2" s="1"/>
  <c r="P13" i="2"/>
  <c r="R13" i="2" s="1"/>
  <c r="X10" i="2" l="1"/>
  <c r="V10" i="2"/>
  <c r="Q10" i="2"/>
  <c r="L10" i="2"/>
  <c r="M10" i="2" s="1"/>
  <c r="J10" i="2"/>
  <c r="I10" i="2"/>
  <c r="P10" i="2" s="1"/>
  <c r="H10" i="2"/>
  <c r="G10" i="2"/>
  <c r="F10" i="2"/>
  <c r="E10" i="2"/>
  <c r="D10" i="2"/>
  <c r="C10" i="2"/>
  <c r="X9" i="2"/>
  <c r="V9" i="2"/>
  <c r="Q9" i="2"/>
  <c r="L9" i="2"/>
  <c r="M9" i="2" s="1"/>
  <c r="J9" i="2"/>
  <c r="I9" i="2"/>
  <c r="P9" i="2" s="1"/>
  <c r="H9" i="2"/>
  <c r="G9" i="2"/>
  <c r="F9" i="2"/>
  <c r="E9" i="2"/>
  <c r="D9" i="2"/>
  <c r="C9" i="2"/>
  <c r="X8" i="2"/>
  <c r="V8" i="2"/>
  <c r="Q8" i="2"/>
  <c r="L8" i="2"/>
  <c r="M8" i="2" s="1"/>
  <c r="J8" i="2"/>
  <c r="I8" i="2"/>
  <c r="P8" i="2" s="1"/>
  <c r="H8" i="2"/>
  <c r="G8" i="2"/>
  <c r="F8" i="2"/>
  <c r="E8" i="2"/>
  <c r="D8" i="2"/>
  <c r="C8" i="2"/>
  <c r="X7" i="2"/>
  <c r="V7" i="2"/>
  <c r="Q7" i="2"/>
  <c r="L7" i="2"/>
  <c r="M7" i="2" s="1"/>
  <c r="J7" i="2"/>
  <c r="I7" i="2"/>
  <c r="P7" i="2" s="1"/>
  <c r="H7" i="2"/>
  <c r="G7" i="2"/>
  <c r="F7" i="2"/>
  <c r="E7" i="2"/>
  <c r="D7" i="2"/>
  <c r="C7" i="2"/>
  <c r="V6" i="2"/>
  <c r="Q6" i="2"/>
  <c r="O6" i="2"/>
  <c r="J6" i="2"/>
  <c r="I6" i="2"/>
  <c r="P6" i="2" s="1"/>
  <c r="H6" i="2"/>
  <c r="G6" i="2"/>
  <c r="F6" i="2"/>
  <c r="E6" i="2"/>
  <c r="D6" i="2"/>
  <c r="C6" i="2"/>
  <c r="T13" i="2"/>
  <c r="T12" i="2"/>
  <c r="T11" i="2"/>
  <c r="R7" i="2" l="1"/>
  <c r="R9" i="2"/>
  <c r="R10" i="2"/>
  <c r="R8" i="2"/>
  <c r="R6" i="2"/>
  <c r="W6" i="2"/>
  <c r="X6" i="2" s="1"/>
  <c r="S6" i="2"/>
  <c r="T7" i="2"/>
  <c r="T9" i="2"/>
  <c r="O7" i="2"/>
  <c r="O9" i="2"/>
  <c r="T10" i="2"/>
  <c r="O8" i="2"/>
  <c r="O10" i="2"/>
  <c r="T8" i="2"/>
  <c r="T6" i="2"/>
  <c r="L36" i="1"/>
  <c r="O36" i="1"/>
  <c r="L35" i="1"/>
  <c r="O35" i="1"/>
  <c r="O34" i="1"/>
  <c r="O33" i="1"/>
  <c r="O32" i="1"/>
  <c r="L32" i="1"/>
  <c r="L33" i="1"/>
  <c r="L34" i="1"/>
  <c r="O30" i="1"/>
  <c r="O31" i="1"/>
  <c r="L31" i="1"/>
  <c r="L26" i="1"/>
  <c r="O28" i="1"/>
  <c r="O29" i="1"/>
  <c r="O27" i="1"/>
  <c r="O26" i="1"/>
  <c r="O25" i="1"/>
  <c r="L25" i="1"/>
  <c r="O24" i="1"/>
  <c r="L24" i="1"/>
  <c r="O23" i="1"/>
  <c r="L23" i="1"/>
</calcChain>
</file>

<file path=xl/sharedStrings.xml><?xml version="1.0" encoding="utf-8"?>
<sst xmlns="http://schemas.openxmlformats.org/spreadsheetml/2006/main" count="4383" uniqueCount="223">
  <si>
    <t xml:space="preserve">Country </t>
  </si>
  <si>
    <t xml:space="preserve">Germany </t>
  </si>
  <si>
    <t xml:space="preserve"># Of resellers </t>
  </si>
  <si>
    <t>Average Revenue Targeted</t>
  </si>
  <si>
    <t>UK</t>
  </si>
  <si>
    <t>WER</t>
  </si>
  <si>
    <t>TD</t>
  </si>
  <si>
    <t xml:space="preserve">SK </t>
  </si>
  <si>
    <t xml:space="preserve">Ingram </t>
  </si>
  <si>
    <t>Exertis</t>
  </si>
  <si>
    <t xml:space="preserve">TD </t>
  </si>
  <si>
    <t>Q4</t>
  </si>
  <si>
    <t>NL</t>
  </si>
  <si>
    <t>Q3</t>
  </si>
  <si>
    <t>BLX</t>
  </si>
  <si>
    <t>ES</t>
  </si>
  <si>
    <t>PT</t>
  </si>
  <si>
    <t>AT</t>
  </si>
  <si>
    <t>CH</t>
  </si>
  <si>
    <t>SE</t>
  </si>
  <si>
    <t>DK</t>
  </si>
  <si>
    <t xml:space="preserve">NO </t>
  </si>
  <si>
    <t xml:space="preserve">FI </t>
  </si>
  <si>
    <t xml:space="preserve">TOTAL DE </t>
  </si>
  <si>
    <t xml:space="preserve">Actuals - </t>
  </si>
  <si>
    <t>Actual Q1</t>
  </si>
  <si>
    <t xml:space="preserve">Average rev per partner </t>
  </si>
  <si>
    <t>Yoy % growth average per partner</t>
  </si>
  <si>
    <t>Actual Q2</t>
  </si>
  <si>
    <t xml:space="preserve">Yoy % growth per resellers </t>
  </si>
  <si>
    <t># resellers actual (2 months)</t>
  </si>
  <si>
    <t># of resellers</t>
  </si>
  <si>
    <t># of resellers target</t>
  </si>
  <si>
    <t>average rev per partner target</t>
  </si>
  <si>
    <t xml:space="preserve"># of resellers </t>
  </si>
  <si>
    <t>Target Q4</t>
  </si>
  <si>
    <t>Average rev per partner actual (2 months)</t>
  </si>
  <si>
    <t>Trend per Q (resellers)</t>
  </si>
  <si>
    <t>Trend per Q (revenue)</t>
  </si>
  <si>
    <t>SK</t>
  </si>
  <si>
    <t>Tech Data</t>
  </si>
  <si>
    <t>Ingram</t>
  </si>
  <si>
    <t>MCA</t>
  </si>
  <si>
    <t>Germany  (total )</t>
  </si>
  <si>
    <t>France (total)</t>
  </si>
  <si>
    <t>UK only (total)</t>
  </si>
  <si>
    <t>META</t>
  </si>
  <si>
    <t>Actual Q3</t>
  </si>
  <si>
    <t>Targets Q4</t>
  </si>
  <si>
    <t>Client Commercial SnS + BTB</t>
  </si>
  <si>
    <t>CSG SnS</t>
  </si>
  <si>
    <t>BREADTH &amp; DEPTH Non Metal Through Disti Client Focus</t>
  </si>
  <si>
    <t>CEE</t>
  </si>
  <si>
    <t>na</t>
  </si>
  <si>
    <t>Scope</t>
  </si>
  <si>
    <t>ITALY</t>
  </si>
  <si>
    <t>NO</t>
  </si>
  <si>
    <t>FI</t>
  </si>
  <si>
    <t>RUSSIA</t>
  </si>
  <si>
    <t>Computer Gross</t>
  </si>
  <si>
    <t>Data Matic</t>
  </si>
  <si>
    <t>Esprinet SPA</t>
  </si>
  <si>
    <t>FY</t>
  </si>
  <si>
    <t>FYQ</t>
  </si>
  <si>
    <t>Region</t>
  </si>
  <si>
    <t>Country</t>
  </si>
  <si>
    <t>Product Line</t>
  </si>
  <si>
    <t>METAL / NON METAL</t>
  </si>
  <si>
    <t>Total Revenue</t>
  </si>
  <si>
    <t>Revenue per Partner</t>
  </si>
  <si>
    <t># Active</t>
  </si>
  <si>
    <t>FY20</t>
  </si>
  <si>
    <t>FY20-Q2</t>
  </si>
  <si>
    <t>Albania</t>
  </si>
  <si>
    <t>Commercial</t>
  </si>
  <si>
    <t>NON METAL</t>
  </si>
  <si>
    <t>FY20-Q1</t>
  </si>
  <si>
    <t>FY20-Q3</t>
  </si>
  <si>
    <t>MERAT</t>
  </si>
  <si>
    <t>Algeria</t>
  </si>
  <si>
    <t>Andorra</t>
  </si>
  <si>
    <t>Angola</t>
  </si>
  <si>
    <t>Armenia</t>
  </si>
  <si>
    <t>Austria</t>
  </si>
  <si>
    <t>Azerbaijan</t>
  </si>
  <si>
    <t>Bahrain</t>
  </si>
  <si>
    <t>Belarus</t>
  </si>
  <si>
    <t>Belgium</t>
  </si>
  <si>
    <t>Benin</t>
  </si>
  <si>
    <t>Bosnia And Herzegovina</t>
  </si>
  <si>
    <t>Botswana</t>
  </si>
  <si>
    <t>Bulgaria</t>
  </si>
  <si>
    <t>Burkina Faso</t>
  </si>
  <si>
    <t>Cameroon</t>
  </si>
  <si>
    <t>Central African Republic</t>
  </si>
  <si>
    <t>Chad</t>
  </si>
  <si>
    <t>Comoros</t>
  </si>
  <si>
    <t>Congo</t>
  </si>
  <si>
    <t>Congo, Democratic Republic</t>
  </si>
  <si>
    <t>Cote D'Ivoire</t>
  </si>
  <si>
    <t>Croatia</t>
  </si>
  <si>
    <t>Cyprus</t>
  </si>
  <si>
    <t>Czech Republic</t>
  </si>
  <si>
    <t>Denmark</t>
  </si>
  <si>
    <t>Djibouti</t>
  </si>
  <si>
    <t>Egypt</t>
  </si>
  <si>
    <t>Equatorial Guinea</t>
  </si>
  <si>
    <t>Estonia</t>
  </si>
  <si>
    <t>Ethiopia</t>
  </si>
  <si>
    <t>Finland</t>
  </si>
  <si>
    <t>FRANCE</t>
  </si>
  <si>
    <t>France</t>
  </si>
  <si>
    <t>French Polynesia</t>
  </si>
  <si>
    <t>Gabon</t>
  </si>
  <si>
    <t>Gambia</t>
  </si>
  <si>
    <t>Georgia</t>
  </si>
  <si>
    <t>GERMANY</t>
  </si>
  <si>
    <t>Germany</t>
  </si>
  <si>
    <t>Ghana</t>
  </si>
  <si>
    <t>Greece</t>
  </si>
  <si>
    <t>Guinea</t>
  </si>
  <si>
    <t>Hungary</t>
  </si>
  <si>
    <t>Iraq</t>
  </si>
  <si>
    <t>UKI</t>
  </si>
  <si>
    <t>Ireland</t>
  </si>
  <si>
    <t>Israel</t>
  </si>
  <si>
    <t>Italy</t>
  </si>
  <si>
    <t>Jordan</t>
  </si>
  <si>
    <t>Kazakhstan</t>
  </si>
  <si>
    <t>Kenya</t>
  </si>
  <si>
    <t>Kosovo</t>
  </si>
  <si>
    <t>Kuwait</t>
  </si>
  <si>
    <t>Kyrgyzstan</t>
  </si>
  <si>
    <t>Latvia</t>
  </si>
  <si>
    <t>Lebanon</t>
  </si>
  <si>
    <t>Lesotho</t>
  </si>
  <si>
    <t>Liberia</t>
  </si>
  <si>
    <t>Libyan Arab Jamahinya</t>
  </si>
  <si>
    <t>Lithuania</t>
  </si>
  <si>
    <t>Luxembourg</t>
  </si>
  <si>
    <t>Macedonia</t>
  </si>
  <si>
    <t>Madagascar</t>
  </si>
  <si>
    <t>Malawi</t>
  </si>
  <si>
    <t>Mali</t>
  </si>
  <si>
    <t>Mauritania</t>
  </si>
  <si>
    <t>Mauritius</t>
  </si>
  <si>
    <t>Mayotte</t>
  </si>
  <si>
    <t>Moldova, Republic Of</t>
  </si>
  <si>
    <t>Montenegro</t>
  </si>
  <si>
    <t>Morocco</t>
  </si>
  <si>
    <t>Mozambique</t>
  </si>
  <si>
    <t>Namibia</t>
  </si>
  <si>
    <t>Netherlands</t>
  </si>
  <si>
    <t>Nigeria</t>
  </si>
  <si>
    <t>Norway</t>
  </si>
  <si>
    <t>Oman</t>
  </si>
  <si>
    <t>Poland</t>
  </si>
  <si>
    <t>Portugal</t>
  </si>
  <si>
    <t>Qatar</t>
  </si>
  <si>
    <t>Reunion</t>
  </si>
  <si>
    <t>Romania</t>
  </si>
  <si>
    <t>Russia</t>
  </si>
  <si>
    <t>Saudi Arabia</t>
  </si>
  <si>
    <t>Senegal</t>
  </si>
  <si>
    <t>Serbia</t>
  </si>
  <si>
    <t>Seychelles</t>
  </si>
  <si>
    <t>Sierra Leone</t>
  </si>
  <si>
    <t>Slovakia</t>
  </si>
  <si>
    <t>Slovenia</t>
  </si>
  <si>
    <t>South Africa</t>
  </si>
  <si>
    <t>Spain</t>
  </si>
  <si>
    <t>Swaziland</t>
  </si>
  <si>
    <t>Sweden</t>
  </si>
  <si>
    <t>Switzerland</t>
  </si>
  <si>
    <t>Tanzania, United Republic Of</t>
  </si>
  <si>
    <t>Togo</t>
  </si>
  <si>
    <t>Tunisia</t>
  </si>
  <si>
    <t>Turkey</t>
  </si>
  <si>
    <t>Uganda</t>
  </si>
  <si>
    <t>Ukraine</t>
  </si>
  <si>
    <t>United Arab Emirates</t>
  </si>
  <si>
    <t>United Kingdom</t>
  </si>
  <si>
    <t>Uzbekistan</t>
  </si>
  <si>
    <t>Yemen</t>
  </si>
  <si>
    <t>Zambia</t>
  </si>
  <si>
    <t>Zimbabwe</t>
  </si>
  <si>
    <t>FY19</t>
  </si>
  <si>
    <t>FY19-Q2</t>
  </si>
  <si>
    <t>FY19-Q3</t>
  </si>
  <si>
    <t>FY19-Q4</t>
  </si>
  <si>
    <t>FY19-Q1</t>
  </si>
  <si>
    <t>Average rev per partner actual</t>
  </si>
  <si>
    <t>Source Power Bi</t>
  </si>
  <si>
    <t>Distributor Name</t>
  </si>
  <si>
    <t>COMPUTER GROSS</t>
  </si>
  <si>
    <t>Datamatic</t>
  </si>
  <si>
    <t>ESPRINET S.P.A.</t>
  </si>
  <si>
    <t>INGRAM MICRO DISTRIBUTION GMBH - B2B</t>
  </si>
  <si>
    <t>Siewert &amp; Kau Computertechnik - B2B</t>
  </si>
  <si>
    <t>TECH DATA FRANCE HOLDING - B2B</t>
  </si>
  <si>
    <t>TECH DATA ITALIA SRL</t>
  </si>
  <si>
    <t>ALLTRON_GCC</t>
  </si>
  <si>
    <t>Exertis (UK) Limited</t>
  </si>
  <si>
    <t>Tech Data Service GmbH -B2B</t>
  </si>
  <si>
    <t>100MEGA Distribution s.r.o.</t>
  </si>
  <si>
    <t>Copaco - B2B</t>
  </si>
  <si>
    <t>AB S.A.</t>
  </si>
  <si>
    <t>ALSO International BV - B2B</t>
  </si>
  <si>
    <t>Axiz Pty Ltd</t>
  </si>
  <si>
    <t>CMS Compucenter Ltd CSB</t>
  </si>
  <si>
    <t>Comercial - Orsi Distribution</t>
  </si>
  <si>
    <t>Computer C-Data Ltd CSB</t>
  </si>
  <si>
    <t>ESPRINET ES_GCC</t>
  </si>
  <si>
    <t>Exertis Supplies</t>
  </si>
  <si>
    <t>ROSEVILLE INVESTMENTS sp. z o.o.</t>
  </si>
  <si>
    <t>TECH DATA ESPANA, S.L.U.</t>
  </si>
  <si>
    <t>ACTUAL Q3</t>
  </si>
  <si>
    <t># Resellers Actual</t>
  </si>
  <si>
    <t># of Resellers Target</t>
  </si>
  <si>
    <t>Achieved Target</t>
  </si>
  <si>
    <t>Conclusion</t>
  </si>
  <si>
    <t>Rouge de 0 à 80%, orange de 80,1 à 99,9 et vert à partir de 100%.</t>
  </si>
  <si>
    <t>=SIERREUR(L6/K6;"")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</si>
</sst>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&quot;$&quot;* #,##0.00_);_(&quot;$&quot;* \(#,##0.00\);_(&quot;$&quot;* &quot;-&quot;??_);_(@_)"/>
    <numFmt numFmtId="165" formatCode="_([$$-409]* #,##0_);_([$$-409]* \(#,##0\);_([$$-409]* &quot;-&quot;??_);_(@_)"/>
    <numFmt numFmtId="166" formatCode="_(&quot;$&quot;* #,##0.0_);_(&quot;$&quot;* \(#,##0.0\);_(&quot;$&quot;* &quot;-&quot;??_);_(@_)"/>
    <numFmt numFmtId="167" formatCode="_(&quot;$&quot;* #,##0_);_(&quot;$&quot;* \(#,##0\);_(&quot;$&quot;* &quot;-&quot;??_);_(@_)"/>
    <numFmt numFmtId="168" formatCode="0.0%"/>
    <numFmt numFmtId="169" formatCode="_-[$$-409]* #,##0_ ;_-[$$-409]* \-#,##0\ ;_-[$$-409]* &quot;-&quot;??_ ;_-@_ 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4A5359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6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2" fillId="0" borderId="2" xfId="0" applyFont="1" applyBorder="1" applyAlignment="1">
      <alignment horizontal="center"/>
    </xf>
    <xf numFmtId="0" fontId="0" fillId="0" borderId="11" xfId="0" applyBorder="1"/>
    <xf numFmtId="0" fontId="2" fillId="0" borderId="3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4" xfId="0" applyFill="1" applyBorder="1" applyAlignment="1">
      <alignment horizontal="center"/>
    </xf>
    <xf numFmtId="166" fontId="0" fillId="0" borderId="15" xfId="1" applyNumberFormat="1" applyFont="1" applyBorder="1" applyAlignment="1">
      <alignment horizontal="center"/>
    </xf>
    <xf numFmtId="166" fontId="0" fillId="0" borderId="17" xfId="1" applyNumberFormat="1" applyFont="1" applyBorder="1" applyAlignment="1">
      <alignment horizontal="center"/>
    </xf>
    <xf numFmtId="166" fontId="0" fillId="0" borderId="20" xfId="1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166" fontId="0" fillId="0" borderId="22" xfId="1" applyNumberFormat="1" applyFont="1" applyBorder="1" applyAlignment="1">
      <alignment horizontal="center"/>
    </xf>
    <xf numFmtId="166" fontId="0" fillId="0" borderId="24" xfId="1" applyNumberFormat="1" applyFont="1" applyBorder="1" applyAlignment="1">
      <alignment horizontal="center"/>
    </xf>
    <xf numFmtId="0" fontId="0" fillId="0" borderId="29" xfId="0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3" xfId="0" applyBorder="1" applyAlignment="1">
      <alignment horizontal="center"/>
    </xf>
    <xf numFmtId="166" fontId="0" fillId="0" borderId="34" xfId="1" applyNumberFormat="1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42" xfId="0" applyBorder="1" applyAlignment="1">
      <alignment horizontal="center"/>
    </xf>
    <xf numFmtId="0" fontId="0" fillId="0" borderId="4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7" fontId="0" fillId="0" borderId="14" xfId="1" applyNumberFormat="1" applyFont="1" applyBorder="1" applyAlignment="1">
      <alignment horizontal="center" vertical="center"/>
    </xf>
    <xf numFmtId="167" fontId="0" fillId="0" borderId="14" xfId="1" applyNumberFormat="1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0" fillId="0" borderId="48" xfId="0" applyBorder="1" applyAlignment="1">
      <alignment horizontal="center" wrapText="1"/>
    </xf>
    <xf numFmtId="0" fontId="0" fillId="0" borderId="49" xfId="0" applyBorder="1" applyAlignment="1">
      <alignment horizontal="center" wrapText="1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1" applyNumberFormat="1" applyFont="1" applyBorder="1" applyAlignment="1">
      <alignment horizontal="center" vertical="center"/>
    </xf>
    <xf numFmtId="0" fontId="0" fillId="0" borderId="43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0" borderId="50" xfId="0" applyBorder="1"/>
    <xf numFmtId="167" fontId="0" fillId="0" borderId="15" xfId="1" applyNumberFormat="1" applyFont="1" applyBorder="1" applyAlignment="1">
      <alignment horizontal="center" vertical="center"/>
    </xf>
    <xf numFmtId="0" fontId="0" fillId="0" borderId="14" xfId="2" applyNumberFormat="1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6" borderId="5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67" fontId="0" fillId="0" borderId="51" xfId="1" applyNumberFormat="1" applyFont="1" applyBorder="1" applyAlignment="1">
      <alignment horizontal="center" vertical="center"/>
    </xf>
    <xf numFmtId="167" fontId="0" fillId="0" borderId="24" xfId="1" applyNumberFormat="1" applyFont="1" applyBorder="1" applyAlignment="1">
      <alignment horizontal="center" vertical="center"/>
    </xf>
    <xf numFmtId="167" fontId="0" fillId="0" borderId="1" xfId="1" applyNumberFormat="1" applyFont="1" applyBorder="1" applyAlignment="1">
      <alignment horizontal="center" vertical="center"/>
    </xf>
    <xf numFmtId="167" fontId="0" fillId="0" borderId="1" xfId="1" applyNumberFormat="1" applyFont="1" applyBorder="1" applyAlignment="1">
      <alignment vertical="center"/>
    </xf>
    <xf numFmtId="0" fontId="0" fillId="0" borderId="1" xfId="2" applyNumberFormat="1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66" fontId="0" fillId="0" borderId="0" xfId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17" xfId="2" applyNumberFormat="1" applyFont="1" applyBorder="1" applyAlignment="1">
      <alignment horizontal="center" vertical="center"/>
    </xf>
    <xf numFmtId="167" fontId="0" fillId="0" borderId="19" xfId="1" applyNumberFormat="1" applyFont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2" fillId="0" borderId="44" xfId="0" applyFont="1" applyFill="1" applyBorder="1" applyAlignment="1">
      <alignment horizontal="center" vertical="center"/>
    </xf>
    <xf numFmtId="0" fontId="2" fillId="0" borderId="45" xfId="0" applyFont="1" applyBorder="1" applyAlignment="1">
      <alignment horizontal="center" vertical="center" wrapText="1"/>
    </xf>
    <xf numFmtId="0" fontId="2" fillId="0" borderId="45" xfId="0" applyFont="1" applyFill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46" xfId="0" applyFont="1" applyFill="1" applyBorder="1" applyAlignment="1">
      <alignment horizontal="center" vertical="center" wrapText="1"/>
    </xf>
    <xf numFmtId="0" fontId="2" fillId="0" borderId="0" xfId="0" applyFont="1"/>
    <xf numFmtId="167" fontId="0" fillId="0" borderId="2" xfId="1" applyNumberFormat="1" applyFont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4" borderId="47" xfId="0" applyFill="1" applyBorder="1" applyAlignment="1">
      <alignment horizontal="center" vertical="center" wrapText="1"/>
    </xf>
    <xf numFmtId="0" fontId="0" fillId="0" borderId="55" xfId="0" applyBorder="1" applyAlignment="1">
      <alignment horizontal="center" wrapText="1"/>
    </xf>
    <xf numFmtId="0" fontId="0" fillId="4" borderId="12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167" fontId="0" fillId="7" borderId="1" xfId="1" applyNumberFormat="1" applyFont="1" applyFill="1" applyBorder="1" applyAlignment="1">
      <alignment vertical="center"/>
    </xf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>
      <alignment vertical="center"/>
    </xf>
    <xf numFmtId="0" fontId="0" fillId="7" borderId="1" xfId="0" applyFill="1" applyBorder="1" applyAlignment="1">
      <alignment horizontal="center"/>
    </xf>
    <xf numFmtId="167" fontId="0" fillId="0" borderId="17" xfId="1" applyNumberFormat="1" applyFont="1" applyBorder="1" applyAlignment="1">
      <alignment horizontal="center" vertical="center"/>
    </xf>
    <xf numFmtId="167" fontId="0" fillId="0" borderId="22" xfId="1" applyNumberFormat="1" applyFont="1" applyBorder="1" applyAlignment="1">
      <alignment horizontal="center" vertical="center"/>
    </xf>
    <xf numFmtId="167" fontId="0" fillId="0" borderId="20" xfId="1" applyNumberFormat="1" applyFont="1" applyBorder="1" applyAlignment="1">
      <alignment horizontal="center" vertical="center"/>
    </xf>
    <xf numFmtId="0" fontId="0" fillId="7" borderId="16" xfId="0" applyFill="1" applyBorder="1" applyAlignment="1">
      <alignment horizontal="center"/>
    </xf>
    <xf numFmtId="0" fontId="0" fillId="7" borderId="17" xfId="0" applyFill="1" applyBorder="1" applyAlignment="1">
      <alignment horizontal="center"/>
    </xf>
    <xf numFmtId="0" fontId="0" fillId="0" borderId="37" xfId="0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167" fontId="0" fillId="7" borderId="14" xfId="1" applyNumberFormat="1" applyFont="1" applyFill="1" applyBorder="1" applyAlignment="1">
      <alignment horizontal="center" vertical="center"/>
    </xf>
    <xf numFmtId="167" fontId="0" fillId="0" borderId="19" xfId="1" applyNumberFormat="1" applyFont="1" applyBorder="1" applyAlignment="1">
      <alignment vertical="center"/>
    </xf>
    <xf numFmtId="0" fontId="0" fillId="7" borderId="18" xfId="0" applyFill="1" applyBorder="1" applyAlignment="1">
      <alignment horizontal="center"/>
    </xf>
    <xf numFmtId="0" fontId="0" fillId="7" borderId="19" xfId="0" applyFill="1" applyBorder="1" applyAlignment="1">
      <alignment horizontal="center" vertical="center"/>
    </xf>
    <xf numFmtId="0" fontId="0" fillId="7" borderId="19" xfId="0" applyFill="1" applyBorder="1" applyAlignment="1">
      <alignment vertical="center"/>
    </xf>
    <xf numFmtId="0" fontId="0" fillId="0" borderId="12" xfId="0" applyBorder="1" applyAlignment="1">
      <alignment horizontal="center" vertical="center"/>
    </xf>
    <xf numFmtId="167" fontId="0" fillId="0" borderId="13" xfId="1" applyNumberFormat="1" applyFont="1" applyBorder="1" applyAlignment="1">
      <alignment horizontal="center" vertical="center"/>
    </xf>
    <xf numFmtId="0" fontId="0" fillId="7" borderId="14" xfId="0" applyFill="1" applyBorder="1" applyAlignment="1">
      <alignment horizontal="center"/>
    </xf>
    <xf numFmtId="0" fontId="0" fillId="7" borderId="15" xfId="0" applyFill="1" applyBorder="1" applyAlignment="1">
      <alignment horizontal="center"/>
    </xf>
    <xf numFmtId="167" fontId="0" fillId="0" borderId="16" xfId="1" applyNumberFormat="1" applyFont="1" applyBorder="1" applyAlignment="1">
      <alignment horizontal="center" vertical="center"/>
    </xf>
    <xf numFmtId="0" fontId="0" fillId="7" borderId="19" xfId="0" applyFill="1" applyBorder="1" applyAlignment="1">
      <alignment horizontal="center"/>
    </xf>
    <xf numFmtId="0" fontId="0" fillId="7" borderId="20" xfId="0" applyFill="1" applyBorder="1" applyAlignment="1">
      <alignment horizontal="center"/>
    </xf>
    <xf numFmtId="167" fontId="0" fillId="0" borderId="54" xfId="1" applyNumberFormat="1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20" xfId="0" applyFont="1" applyBorder="1" applyAlignment="1">
      <alignment horizontal="center"/>
    </xf>
    <xf numFmtId="0" fontId="0" fillId="4" borderId="7" xfId="0" applyFill="1" applyBorder="1" applyAlignment="1">
      <alignment horizontal="center" vertical="center"/>
    </xf>
    <xf numFmtId="167" fontId="0" fillId="0" borderId="44" xfId="1" applyNumberFormat="1" applyFont="1" applyBorder="1" applyAlignment="1">
      <alignment horizontal="center" vertical="center"/>
    </xf>
    <xf numFmtId="167" fontId="0" fillId="0" borderId="46" xfId="1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167" fontId="0" fillId="0" borderId="45" xfId="1" applyNumberFormat="1" applyFont="1" applyBorder="1" applyAlignment="1">
      <alignment horizontal="center" vertical="center"/>
    </xf>
    <xf numFmtId="167" fontId="0" fillId="0" borderId="45" xfId="1" applyNumberFormat="1" applyFont="1" applyBorder="1" applyAlignment="1">
      <alignment vertical="center"/>
    </xf>
    <xf numFmtId="167" fontId="0" fillId="0" borderId="42" xfId="1" applyNumberFormat="1" applyFont="1" applyBorder="1"/>
    <xf numFmtId="165" fontId="0" fillId="0" borderId="42" xfId="2" applyNumberFormat="1" applyFont="1" applyBorder="1" applyAlignment="1">
      <alignment horizontal="center"/>
    </xf>
    <xf numFmtId="167" fontId="0" fillId="0" borderId="42" xfId="1" applyNumberFormat="1" applyFont="1" applyBorder="1" applyAlignment="1">
      <alignment horizontal="center" vertical="center"/>
    </xf>
    <xf numFmtId="0" fontId="7" fillId="0" borderId="48" xfId="0" applyFont="1" applyBorder="1" applyAlignment="1">
      <alignment horizontal="right" vertical="center" wrapText="1"/>
    </xf>
    <xf numFmtId="0" fontId="7" fillId="0" borderId="55" xfId="0" applyFont="1" applyBorder="1" applyAlignment="1">
      <alignment horizontal="right" vertical="center" wrapText="1"/>
    </xf>
    <xf numFmtId="0" fontId="7" fillId="0" borderId="49" xfId="0" applyFont="1" applyBorder="1" applyAlignment="1">
      <alignment horizontal="right" vertical="center" wrapText="1"/>
    </xf>
    <xf numFmtId="0" fontId="8" fillId="0" borderId="7" xfId="0" applyFont="1" applyBorder="1" applyAlignment="1">
      <alignment horizontal="center" vertical="center"/>
    </xf>
    <xf numFmtId="0" fontId="6" fillId="0" borderId="0" xfId="0" applyFont="1"/>
    <xf numFmtId="0" fontId="0" fillId="4" borderId="57" xfId="0" applyFill="1" applyBorder="1" applyAlignment="1">
      <alignment horizontal="center" vertical="center"/>
    </xf>
    <xf numFmtId="0" fontId="7" fillId="0" borderId="48" xfId="0" applyFont="1" applyBorder="1" applyAlignment="1">
      <alignment horizontal="right" wrapText="1"/>
    </xf>
    <xf numFmtId="0" fontId="7" fillId="0" borderId="49" xfId="0" applyFont="1" applyBorder="1" applyAlignment="1">
      <alignment horizontal="right" wrapText="1"/>
    </xf>
    <xf numFmtId="0" fontId="0" fillId="6" borderId="13" xfId="0" applyFill="1" applyBorder="1" applyAlignment="1">
      <alignment horizontal="center" vertical="center"/>
    </xf>
    <xf numFmtId="0" fontId="0" fillId="4" borderId="44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7" fillId="6" borderId="32" xfId="0" applyFont="1" applyFill="1" applyBorder="1" applyAlignment="1">
      <alignment horizontal="right" vertical="center"/>
    </xf>
    <xf numFmtId="0" fontId="7" fillId="6" borderId="30" xfId="0" applyFont="1" applyFill="1" applyBorder="1" applyAlignment="1">
      <alignment horizontal="right" vertical="center"/>
    </xf>
    <xf numFmtId="0" fontId="9" fillId="11" borderId="1" xfId="0" applyFont="1" applyFill="1" applyBorder="1" applyAlignment="1">
      <alignment horizontal="center" vertical="center"/>
    </xf>
    <xf numFmtId="0" fontId="9" fillId="11" borderId="4" xfId="0" applyFont="1" applyFill="1" applyBorder="1" applyAlignment="1">
      <alignment horizontal="center" vertical="center"/>
    </xf>
    <xf numFmtId="0" fontId="0" fillId="6" borderId="44" xfId="0" applyFill="1" applyBorder="1" applyAlignment="1">
      <alignment horizontal="center" vertical="center"/>
    </xf>
    <xf numFmtId="1" fontId="0" fillId="0" borderId="0" xfId="0" applyNumberFormat="1"/>
    <xf numFmtId="0" fontId="0" fillId="12" borderId="13" xfId="0" applyFill="1" applyBorder="1" applyAlignment="1">
      <alignment horizontal="center" vertical="center"/>
    </xf>
    <xf numFmtId="0" fontId="0" fillId="12" borderId="58" xfId="0" applyFill="1" applyBorder="1" applyAlignment="1">
      <alignment horizontal="center" vertical="center"/>
    </xf>
    <xf numFmtId="0" fontId="6" fillId="12" borderId="54" xfId="0" applyFont="1" applyFill="1" applyBorder="1" applyAlignment="1">
      <alignment horizontal="center" vertical="center"/>
    </xf>
    <xf numFmtId="0" fontId="6" fillId="12" borderId="16" xfId="0" applyFont="1" applyFill="1" applyBorder="1" applyAlignment="1">
      <alignment horizontal="center" vertical="center"/>
    </xf>
    <xf numFmtId="0" fontId="6" fillId="12" borderId="59" xfId="0" applyFont="1" applyFill="1" applyBorder="1" applyAlignment="1">
      <alignment horizontal="center" vertical="center"/>
    </xf>
    <xf numFmtId="0" fontId="6" fillId="12" borderId="41" xfId="0" applyFont="1" applyFill="1" applyBorder="1" applyAlignment="1">
      <alignment horizontal="center" vertical="center"/>
    </xf>
    <xf numFmtId="0" fontId="6" fillId="12" borderId="21" xfId="0" applyFont="1" applyFill="1" applyBorder="1" applyAlignment="1">
      <alignment horizontal="center" vertical="center"/>
    </xf>
    <xf numFmtId="0" fontId="0" fillId="12" borderId="21" xfId="0" applyFill="1" applyBorder="1" applyAlignment="1">
      <alignment horizontal="center" vertical="center"/>
    </xf>
    <xf numFmtId="0" fontId="0" fillId="12" borderId="44" xfId="0" applyFill="1" applyBorder="1" applyAlignment="1">
      <alignment horizontal="center" vertical="center"/>
    </xf>
    <xf numFmtId="167" fontId="0" fillId="12" borderId="15" xfId="1" applyNumberFormat="1" applyFont="1" applyFill="1" applyBorder="1" applyAlignment="1">
      <alignment horizontal="center" vertical="center"/>
    </xf>
    <xf numFmtId="167" fontId="0" fillId="12" borderId="24" xfId="1" applyNumberFormat="1" applyFont="1" applyFill="1" applyBorder="1" applyAlignment="1">
      <alignment horizontal="center" vertical="center"/>
    </xf>
    <xf numFmtId="0" fontId="7" fillId="11" borderId="16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/>
    </xf>
    <xf numFmtId="0" fontId="7" fillId="11" borderId="18" xfId="0" applyFont="1" applyFill="1" applyBorder="1" applyAlignment="1">
      <alignment horizontal="center" vertical="center"/>
    </xf>
    <xf numFmtId="0" fontId="7" fillId="11" borderId="19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/>
    </xf>
    <xf numFmtId="0" fontId="8" fillId="6" borderId="58" xfId="0" applyFont="1" applyFill="1" applyBorder="1" applyAlignment="1">
      <alignment horizontal="center" vertical="center" wrapText="1"/>
    </xf>
    <xf numFmtId="0" fontId="8" fillId="6" borderId="51" xfId="0" applyFont="1" applyFill="1" applyBorder="1" applyAlignment="1">
      <alignment horizontal="center" vertical="center" wrapText="1"/>
    </xf>
    <xf numFmtId="0" fontId="8" fillId="6" borderId="38" xfId="0" applyFont="1" applyFill="1" applyBorder="1" applyAlignment="1">
      <alignment horizontal="center" vertical="center" wrapText="1"/>
    </xf>
    <xf numFmtId="0" fontId="10" fillId="12" borderId="58" xfId="0" applyFont="1" applyFill="1" applyBorder="1" applyAlignment="1">
      <alignment horizontal="center" vertical="center" wrapText="1"/>
    </xf>
    <xf numFmtId="0" fontId="8" fillId="0" borderId="51" xfId="0" applyFont="1" applyFill="1" applyBorder="1" applyAlignment="1">
      <alignment horizontal="center" vertical="center" wrapText="1"/>
    </xf>
    <xf numFmtId="0" fontId="8" fillId="12" borderId="51" xfId="0" applyFont="1" applyFill="1" applyBorder="1" applyAlignment="1">
      <alignment horizontal="center" vertical="center" wrapText="1"/>
    </xf>
    <xf numFmtId="0" fontId="8" fillId="12" borderId="58" xfId="0" applyFont="1" applyFill="1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 wrapText="1"/>
    </xf>
    <xf numFmtId="0" fontId="8" fillId="12" borderId="24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center" wrapText="1"/>
    </xf>
    <xf numFmtId="168" fontId="3" fillId="10" borderId="1" xfId="3" applyNumberFormat="1" applyFont="1" applyFill="1" applyBorder="1" applyAlignment="1" applyProtection="1">
      <alignment horizontal="center" vertical="center"/>
    </xf>
    <xf numFmtId="168" fontId="3" fillId="10" borderId="14" xfId="3" applyNumberFormat="1" applyFont="1" applyFill="1" applyBorder="1" applyAlignment="1" applyProtection="1">
      <alignment horizontal="center" vertical="center"/>
    </xf>
    <xf numFmtId="168" fontId="3" fillId="10" borderId="15" xfId="3" applyNumberFormat="1" applyFont="1" applyFill="1" applyBorder="1" applyAlignment="1" applyProtection="1">
      <alignment horizontal="center"/>
    </xf>
    <xf numFmtId="0" fontId="0" fillId="6" borderId="16" xfId="0" applyFill="1" applyBorder="1" applyAlignment="1">
      <alignment horizontal="center" vertical="center"/>
    </xf>
    <xf numFmtId="168" fontId="3" fillId="10" borderId="17" xfId="3" applyNumberFormat="1" applyFont="1" applyFill="1" applyBorder="1" applyAlignment="1" applyProtection="1">
      <alignment horizontal="center"/>
    </xf>
    <xf numFmtId="168" fontId="3" fillId="10" borderId="17" xfId="3" applyNumberFormat="1" applyFont="1" applyFill="1" applyBorder="1" applyAlignment="1" applyProtection="1">
      <alignment horizontal="center" vertical="center"/>
    </xf>
    <xf numFmtId="0" fontId="0" fillId="6" borderId="18" xfId="0" applyFill="1" applyBorder="1" applyAlignment="1">
      <alignment horizontal="center" vertical="center"/>
    </xf>
    <xf numFmtId="168" fontId="3" fillId="10" borderId="19" xfId="3" applyNumberFormat="1" applyFont="1" applyFill="1" applyBorder="1" applyAlignment="1" applyProtection="1">
      <alignment horizontal="center" vertical="center"/>
    </xf>
    <xf numFmtId="168" fontId="3" fillId="10" borderId="20" xfId="3" applyNumberFormat="1" applyFont="1" applyFill="1" applyBorder="1" applyAlignment="1" applyProtection="1">
      <alignment horizontal="center" vertical="center"/>
    </xf>
    <xf numFmtId="168" fontId="3" fillId="10" borderId="15" xfId="3" applyNumberFormat="1" applyFont="1" applyFill="1" applyBorder="1" applyAlignment="1" applyProtection="1">
      <alignment horizontal="center" vertical="center"/>
    </xf>
    <xf numFmtId="0" fontId="0" fillId="4" borderId="62" xfId="0" applyFill="1" applyBorder="1" applyAlignment="1">
      <alignment horizontal="center" vertical="center" wrapText="1"/>
    </xf>
    <xf numFmtId="168" fontId="3" fillId="10" borderId="60" xfId="3" applyNumberFormat="1" applyFont="1" applyFill="1" applyBorder="1" applyAlignment="1" applyProtection="1">
      <alignment horizontal="center" vertical="center"/>
    </xf>
    <xf numFmtId="168" fontId="3" fillId="10" borderId="4" xfId="3" applyNumberFormat="1" applyFont="1" applyFill="1" applyBorder="1" applyAlignment="1" applyProtection="1">
      <alignment horizontal="center" vertical="center"/>
    </xf>
    <xf numFmtId="168" fontId="3" fillId="10" borderId="60" xfId="3" applyNumberFormat="1" applyFont="1" applyFill="1" applyBorder="1" applyAlignment="1" applyProtection="1">
      <alignment horizontal="center"/>
    </xf>
    <xf numFmtId="168" fontId="3" fillId="10" borderId="20" xfId="3" applyNumberFormat="1" applyFont="1" applyFill="1" applyBorder="1" applyAlignment="1" applyProtection="1">
      <alignment horizontal="center"/>
    </xf>
    <xf numFmtId="0" fontId="7" fillId="11" borderId="41" xfId="0" applyFont="1" applyFill="1" applyBorder="1" applyAlignment="1">
      <alignment horizontal="center" vertical="center"/>
    </xf>
    <xf numFmtId="0" fontId="0" fillId="6" borderId="45" xfId="0" applyFill="1" applyBorder="1" applyAlignment="1">
      <alignment horizontal="center" vertical="center"/>
    </xf>
    <xf numFmtId="168" fontId="3" fillId="10" borderId="46" xfId="3" applyNumberFormat="1" applyFont="1" applyFill="1" applyBorder="1" applyAlignment="1" applyProtection="1">
      <alignment horizontal="center" vertical="center"/>
    </xf>
    <xf numFmtId="168" fontId="3" fillId="10" borderId="45" xfId="3" applyNumberFormat="1" applyFont="1" applyFill="1" applyBorder="1" applyAlignment="1" applyProtection="1">
      <alignment horizontal="center" vertical="center"/>
    </xf>
    <xf numFmtId="168" fontId="3" fillId="10" borderId="46" xfId="3" applyNumberFormat="1" applyFont="1" applyFill="1" applyBorder="1" applyAlignment="1" applyProtection="1">
      <alignment horizontal="center"/>
    </xf>
    <xf numFmtId="0" fontId="0" fillId="6" borderId="54" xfId="0" applyFill="1" applyBorder="1" applyAlignment="1">
      <alignment horizontal="center" vertical="center"/>
    </xf>
    <xf numFmtId="168" fontId="3" fillId="10" borderId="22" xfId="3" applyNumberFormat="1" applyFont="1" applyFill="1" applyBorder="1" applyAlignment="1" applyProtection="1">
      <alignment horizontal="center" vertical="center"/>
    </xf>
    <xf numFmtId="168" fontId="3" fillId="10" borderId="2" xfId="3" applyNumberFormat="1" applyFont="1" applyFill="1" applyBorder="1" applyAlignment="1" applyProtection="1">
      <alignment horizontal="center" vertical="center"/>
    </xf>
    <xf numFmtId="168" fontId="3" fillId="10" borderId="22" xfId="3" applyNumberFormat="1" applyFont="1" applyFill="1" applyBorder="1" applyAlignment="1" applyProtection="1">
      <alignment horizontal="center"/>
    </xf>
    <xf numFmtId="0" fontId="0" fillId="6" borderId="21" xfId="0" applyFill="1" applyBorder="1" applyAlignment="1">
      <alignment horizontal="center" vertical="center"/>
    </xf>
    <xf numFmtId="0" fontId="0" fillId="6" borderId="42" xfId="0" applyFill="1" applyBorder="1" applyAlignment="1">
      <alignment horizontal="center" vertical="center"/>
    </xf>
    <xf numFmtId="168" fontId="3" fillId="10" borderId="43" xfId="3" applyNumberFormat="1" applyFont="1" applyFill="1" applyBorder="1" applyAlignment="1" applyProtection="1">
      <alignment horizontal="center" vertical="center"/>
    </xf>
    <xf numFmtId="168" fontId="3" fillId="10" borderId="42" xfId="3" applyNumberFormat="1" applyFont="1" applyFill="1" applyBorder="1" applyAlignment="1" applyProtection="1">
      <alignment horizontal="center" vertical="center"/>
    </xf>
    <xf numFmtId="0" fontId="7" fillId="12" borderId="16" xfId="0" applyFont="1" applyFill="1" applyBorder="1" applyAlignment="1">
      <alignment horizontal="right" vertical="center"/>
    </xf>
    <xf numFmtId="0" fontId="7" fillId="12" borderId="54" xfId="0" applyFont="1" applyFill="1" applyBorder="1" applyAlignment="1">
      <alignment horizontal="right" vertical="center"/>
    </xf>
    <xf numFmtId="0" fontId="7" fillId="12" borderId="18" xfId="0" applyFont="1" applyFill="1" applyBorder="1" applyAlignment="1">
      <alignment horizontal="right" vertical="center"/>
    </xf>
    <xf numFmtId="0" fontId="7" fillId="12" borderId="16" xfId="0" applyFont="1" applyFill="1" applyBorder="1" applyAlignment="1">
      <alignment horizontal="right"/>
    </xf>
    <xf numFmtId="0" fontId="7" fillId="12" borderId="18" xfId="0" applyFont="1" applyFill="1" applyBorder="1" applyAlignment="1">
      <alignment horizontal="right"/>
    </xf>
    <xf numFmtId="167" fontId="7" fillId="12" borderId="17" xfId="1" applyNumberFormat="1" applyFont="1" applyFill="1" applyBorder="1" applyAlignment="1">
      <alignment horizontal="right" vertical="center"/>
    </xf>
    <xf numFmtId="167" fontId="7" fillId="12" borderId="22" xfId="1" applyNumberFormat="1" applyFont="1" applyFill="1" applyBorder="1" applyAlignment="1">
      <alignment horizontal="right" vertical="center"/>
    </xf>
    <xf numFmtId="167" fontId="7" fillId="12" borderId="20" xfId="1" applyNumberFormat="1" applyFont="1" applyFill="1" applyBorder="1" applyAlignment="1">
      <alignment horizontal="right" vertical="center"/>
    </xf>
    <xf numFmtId="167" fontId="7" fillId="12" borderId="17" xfId="1" applyNumberFormat="1" applyFont="1" applyFill="1" applyBorder="1" applyAlignment="1">
      <alignment horizontal="right"/>
    </xf>
    <xf numFmtId="167" fontId="7" fillId="12" borderId="20" xfId="1" applyNumberFormat="1" applyFont="1" applyFill="1" applyBorder="1" applyAlignment="1">
      <alignment horizontal="right"/>
    </xf>
    <xf numFmtId="167" fontId="0" fillId="12" borderId="24" xfId="1" applyNumberFormat="1" applyFont="1" applyFill="1" applyBorder="1" applyAlignment="1">
      <alignment vertical="center"/>
    </xf>
    <xf numFmtId="167" fontId="6" fillId="12" borderId="22" xfId="1" applyNumberFormat="1" applyFont="1" applyFill="1" applyBorder="1" applyAlignment="1">
      <alignment vertical="center"/>
    </xf>
    <xf numFmtId="167" fontId="6" fillId="12" borderId="17" xfId="1" applyNumberFormat="1" applyFont="1" applyFill="1" applyBorder="1" applyAlignment="1">
      <alignment vertical="center"/>
    </xf>
    <xf numFmtId="167" fontId="6" fillId="12" borderId="34" xfId="1" applyNumberFormat="1" applyFont="1" applyFill="1" applyBorder="1" applyAlignment="1">
      <alignment vertical="center"/>
    </xf>
    <xf numFmtId="167" fontId="6" fillId="12" borderId="60" xfId="1" applyNumberFormat="1" applyFont="1" applyFill="1" applyBorder="1" applyAlignment="1">
      <alignment vertical="center"/>
    </xf>
    <xf numFmtId="167" fontId="6" fillId="12" borderId="43" xfId="1" applyNumberFormat="1" applyFont="1" applyFill="1" applyBorder="1" applyAlignment="1">
      <alignment vertical="center"/>
    </xf>
    <xf numFmtId="167" fontId="0" fillId="12" borderId="43" xfId="1" applyNumberFormat="1" applyFont="1" applyFill="1" applyBorder="1" applyAlignment="1">
      <alignment vertical="center"/>
    </xf>
    <xf numFmtId="167" fontId="0" fillId="12" borderId="46" xfId="1" applyNumberFormat="1" applyFont="1" applyFill="1" applyBorder="1" applyAlignment="1">
      <alignment vertical="center"/>
    </xf>
    <xf numFmtId="169" fontId="0" fillId="6" borderId="14" xfId="0" applyNumberFormat="1" applyFill="1" applyBorder="1" applyAlignment="1">
      <alignment horizontal="center" vertical="center"/>
    </xf>
    <xf numFmtId="169" fontId="0" fillId="6" borderId="1" xfId="0" applyNumberFormat="1" applyFill="1" applyBorder="1" applyAlignment="1">
      <alignment horizontal="center" vertical="center"/>
    </xf>
    <xf numFmtId="169" fontId="0" fillId="6" borderId="19" xfId="0" applyNumberFormat="1" applyFill="1" applyBorder="1" applyAlignment="1">
      <alignment horizontal="center" vertical="center"/>
    </xf>
    <xf numFmtId="169" fontId="7" fillId="11" borderId="1" xfId="1" applyNumberFormat="1" applyFont="1" applyFill="1" applyBorder="1" applyAlignment="1">
      <alignment horizontal="center" vertical="center"/>
    </xf>
    <xf numFmtId="169" fontId="7" fillId="11" borderId="19" xfId="1" applyNumberFormat="1" applyFont="1" applyFill="1" applyBorder="1" applyAlignment="1">
      <alignment horizontal="center" vertical="center"/>
    </xf>
    <xf numFmtId="169" fontId="0" fillId="6" borderId="45" xfId="0" applyNumberFormat="1" applyFill="1" applyBorder="1" applyAlignment="1">
      <alignment horizontal="center" vertical="center"/>
    </xf>
    <xf numFmtId="169" fontId="7" fillId="11" borderId="4" xfId="1" applyNumberFormat="1" applyFont="1" applyFill="1" applyBorder="1" applyAlignment="1">
      <alignment horizontal="center" vertical="center"/>
    </xf>
    <xf numFmtId="169" fontId="0" fillId="6" borderId="2" xfId="0" applyNumberFormat="1" applyFill="1" applyBorder="1" applyAlignment="1">
      <alignment horizontal="center" vertical="center"/>
    </xf>
    <xf numFmtId="169" fontId="0" fillId="6" borderId="42" xfId="0" applyNumberFormat="1" applyFill="1" applyBorder="1" applyAlignment="1">
      <alignment horizontal="center" vertical="center"/>
    </xf>
    <xf numFmtId="169" fontId="0" fillId="12" borderId="14" xfId="0" applyNumberFormat="1" applyFill="1" applyBorder="1" applyAlignment="1">
      <alignment horizontal="center" vertical="center"/>
    </xf>
    <xf numFmtId="169" fontId="0" fillId="12" borderId="1" xfId="0" applyNumberFormat="1" applyFill="1" applyBorder="1" applyAlignment="1">
      <alignment horizontal="center" vertical="center"/>
    </xf>
    <xf numFmtId="169" fontId="0" fillId="12" borderId="19" xfId="0" applyNumberFormat="1" applyFill="1" applyBorder="1" applyAlignment="1">
      <alignment horizontal="center" vertical="center"/>
    </xf>
    <xf numFmtId="169" fontId="7" fillId="12" borderId="1" xfId="1" applyNumberFormat="1" applyFont="1" applyFill="1" applyBorder="1" applyAlignment="1">
      <alignment horizontal="center" vertical="center"/>
    </xf>
    <xf numFmtId="169" fontId="7" fillId="12" borderId="19" xfId="1" applyNumberFormat="1" applyFont="1" applyFill="1" applyBorder="1" applyAlignment="1">
      <alignment horizontal="center" vertical="center"/>
    </xf>
    <xf numFmtId="169" fontId="0" fillId="12" borderId="45" xfId="0" applyNumberFormat="1" applyFill="1" applyBorder="1" applyAlignment="1">
      <alignment horizontal="center" vertical="center"/>
    </xf>
    <xf numFmtId="169" fontId="7" fillId="12" borderId="4" xfId="1" applyNumberFormat="1" applyFont="1" applyFill="1" applyBorder="1" applyAlignment="1">
      <alignment horizontal="center" vertical="center"/>
    </xf>
    <xf numFmtId="169" fontId="0" fillId="12" borderId="2" xfId="0" applyNumberFormat="1" applyFill="1" applyBorder="1" applyAlignment="1">
      <alignment horizontal="center" vertical="center"/>
    </xf>
    <xf numFmtId="169" fontId="0" fillId="12" borderId="42" xfId="0" applyNumberFormat="1" applyFill="1" applyBorder="1" applyAlignment="1">
      <alignment horizontal="center" vertical="center"/>
    </xf>
    <xf numFmtId="9" fontId="0" fillId="6" borderId="35" xfId="2" applyFont="1" applyFill="1" applyBorder="1" applyAlignment="1">
      <alignment horizontal="center" vertical="center"/>
    </xf>
    <xf numFmtId="9" fontId="0" fillId="0" borderId="0" xfId="2" applyFont="1" applyAlignment="1">
      <alignment horizontal="center" vertical="center"/>
    </xf>
    <xf numFmtId="9" fontId="0" fillId="6" borderId="12" xfId="2" applyFont="1" applyFill="1" applyBorder="1" applyAlignment="1">
      <alignment horizontal="center" vertical="center"/>
    </xf>
    <xf numFmtId="9" fontId="0" fillId="6" borderId="5" xfId="2" applyFont="1" applyFill="1" applyBorder="1" applyAlignment="1">
      <alignment horizontal="center" vertical="center"/>
    </xf>
    <xf numFmtId="9" fontId="0" fillId="6" borderId="38" xfId="2" applyFont="1" applyFill="1" applyBorder="1" applyAlignment="1">
      <alignment horizontal="center" vertical="center"/>
    </xf>
    <xf numFmtId="9" fontId="0" fillId="6" borderId="35" xfId="2" applyFont="1" applyFill="1" applyBorder="1" applyAlignment="1">
      <alignment horizontal="center" vertical="center" wrapText="1"/>
    </xf>
    <xf numFmtId="169" fontId="0" fillId="6" borderId="10" xfId="0" applyNumberFormat="1" applyFill="1" applyBorder="1" applyAlignment="1">
      <alignment horizontal="center" vertical="center"/>
    </xf>
    <xf numFmtId="169" fontId="0" fillId="6" borderId="36" xfId="0" applyNumberFormat="1" applyFill="1" applyBorder="1" applyAlignment="1">
      <alignment horizontal="center" vertical="center"/>
    </xf>
    <xf numFmtId="0" fontId="7" fillId="6" borderId="31" xfId="0" applyFont="1" applyFill="1" applyBorder="1" applyAlignment="1">
      <alignment horizontal="center" vertical="center"/>
    </xf>
    <xf numFmtId="0" fontId="7" fillId="6" borderId="32" xfId="0" applyFont="1" applyFill="1" applyBorder="1" applyAlignment="1">
      <alignment horizontal="center" vertical="center"/>
    </xf>
    <xf numFmtId="0" fontId="7" fillId="6" borderId="33" xfId="0" applyFont="1" applyFill="1" applyBorder="1" applyAlignment="1">
      <alignment horizontal="center" vertical="center"/>
    </xf>
    <xf numFmtId="0" fontId="6" fillId="12" borderId="18" xfId="0" applyFont="1" applyFill="1" applyBorder="1" applyAlignment="1">
      <alignment horizontal="center" vertical="center"/>
    </xf>
    <xf numFmtId="9" fontId="0" fillId="6" borderId="56" xfId="2" applyFont="1" applyFill="1" applyBorder="1" applyAlignment="1">
      <alignment horizontal="center" vertical="center"/>
    </xf>
    <xf numFmtId="167" fontId="6" fillId="12" borderId="20" xfId="1" applyNumberFormat="1" applyFont="1" applyFill="1" applyBorder="1" applyAlignment="1">
      <alignment vertical="center"/>
    </xf>
    <xf numFmtId="9" fontId="0" fillId="6" borderId="32" xfId="2" applyFont="1" applyFill="1" applyBorder="1" applyAlignment="1">
      <alignment horizontal="center" vertical="center"/>
    </xf>
    <xf numFmtId="9" fontId="0" fillId="6" borderId="33" xfId="2" applyFont="1" applyFill="1" applyBorder="1" applyAlignment="1">
      <alignment horizontal="center" vertical="center"/>
    </xf>
    <xf numFmtId="0" fontId="10" fillId="12" borderId="39" xfId="0" applyFont="1" applyFill="1" applyBorder="1" applyAlignment="1">
      <alignment horizontal="center" vertical="center" wrapText="1"/>
    </xf>
    <xf numFmtId="0" fontId="8" fillId="0" borderId="44" xfId="0" applyFont="1" applyFill="1" applyBorder="1" applyAlignment="1">
      <alignment horizontal="center" vertical="center" wrapText="1"/>
    </xf>
    <xf numFmtId="0" fontId="8" fillId="0" borderId="45" xfId="0" applyFont="1" applyFill="1" applyBorder="1" applyAlignment="1">
      <alignment horizontal="center" vertical="center" wrapText="1"/>
    </xf>
    <xf numFmtId="0" fontId="8" fillId="6" borderId="46" xfId="0" applyFont="1" applyFill="1" applyBorder="1" applyAlignment="1">
      <alignment horizontal="center" vertical="center" wrapText="1"/>
    </xf>
    <xf numFmtId="168" fontId="3" fillId="10" borderId="35" xfId="3" applyNumberFormat="1" applyFont="1" applyFill="1" applyBorder="1" applyAlignment="1" applyProtection="1">
      <alignment horizontal="center" vertical="center"/>
    </xf>
    <xf numFmtId="168" fontId="3" fillId="10" borderId="10" xfId="3" applyNumberFormat="1" applyFont="1" applyFill="1" applyBorder="1" applyAlignment="1" applyProtection="1">
      <alignment horizontal="center" vertical="center"/>
    </xf>
    <xf numFmtId="168" fontId="3" fillId="10" borderId="36" xfId="3" applyNumberFormat="1" applyFont="1" applyFill="1" applyBorder="1" applyAlignment="1" applyProtection="1">
      <alignment horizontal="center" vertical="center"/>
    </xf>
    <xf numFmtId="0" fontId="0" fillId="6" borderId="66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26" xfId="0" applyFill="1" applyBorder="1" applyAlignment="1">
      <alignment horizontal="center" vertical="center"/>
    </xf>
    <xf numFmtId="0" fontId="0" fillId="12" borderId="31" xfId="0" applyFill="1" applyBorder="1" applyAlignment="1">
      <alignment horizontal="center" vertical="center"/>
    </xf>
    <xf numFmtId="0" fontId="0" fillId="12" borderId="32" xfId="0" applyFill="1" applyBorder="1" applyAlignment="1">
      <alignment horizontal="center" vertical="center"/>
    </xf>
    <xf numFmtId="0" fontId="0" fillId="12" borderId="33" xfId="0" applyFill="1" applyBorder="1" applyAlignment="1">
      <alignment horizontal="center" vertical="center"/>
    </xf>
    <xf numFmtId="0" fontId="8" fillId="0" borderId="65" xfId="0" applyFont="1" applyBorder="1" applyAlignment="1">
      <alignment horizontal="center" vertical="center" wrapText="1"/>
    </xf>
    <xf numFmtId="169" fontId="0" fillId="12" borderId="4" xfId="0" applyNumberFormat="1" applyFill="1" applyBorder="1" applyAlignment="1">
      <alignment horizontal="center" vertical="center"/>
    </xf>
    <xf numFmtId="169" fontId="0" fillId="6" borderId="12" xfId="0" applyNumberFormat="1" applyFill="1" applyBorder="1" applyAlignment="1">
      <alignment horizontal="center" vertical="center"/>
    </xf>
    <xf numFmtId="9" fontId="0" fillId="6" borderId="67" xfId="2" applyFont="1" applyFill="1" applyBorder="1" applyAlignment="1">
      <alignment horizontal="center" vertical="center"/>
    </xf>
    <xf numFmtId="0" fontId="0" fillId="12" borderId="59" xfId="0" applyFill="1" applyBorder="1" applyAlignment="1">
      <alignment horizontal="center" vertical="center"/>
    </xf>
    <xf numFmtId="0" fontId="8" fillId="12" borderId="44" xfId="0" applyFont="1" applyFill="1" applyBorder="1" applyAlignment="1">
      <alignment horizontal="center" vertical="center" wrapText="1"/>
    </xf>
    <xf numFmtId="0" fontId="8" fillId="6" borderId="53" xfId="0" applyFont="1" applyFill="1" applyBorder="1" applyAlignment="1">
      <alignment horizontal="center" vertical="center" wrapText="1"/>
    </xf>
    <xf numFmtId="0" fontId="8" fillId="12" borderId="6" xfId="0" applyFont="1" applyFill="1" applyBorder="1" applyAlignment="1">
      <alignment horizontal="center" vertical="center" wrapText="1"/>
    </xf>
    <xf numFmtId="168" fontId="3" fillId="10" borderId="68" xfId="3" applyNumberFormat="1" applyFont="1" applyFill="1" applyBorder="1" applyAlignment="1" applyProtection="1">
      <alignment horizontal="center" vertical="center"/>
    </xf>
    <xf numFmtId="168" fontId="3" fillId="10" borderId="69" xfId="3" applyNumberFormat="1" applyFont="1" applyFill="1" applyBorder="1" applyAlignment="1" applyProtection="1">
      <alignment horizontal="center" vertical="center"/>
    </xf>
    <xf numFmtId="168" fontId="3" fillId="10" borderId="70" xfId="3" applyNumberFormat="1" applyFont="1" applyFill="1" applyBorder="1" applyAlignment="1" applyProtection="1">
      <alignment horizontal="center" vertical="center"/>
    </xf>
    <xf numFmtId="9" fontId="12" fillId="6" borderId="31" xfId="2" applyFont="1" applyFill="1" applyBorder="1" applyAlignment="1">
      <alignment horizontal="center" vertical="center"/>
    </xf>
    <xf numFmtId="9" fontId="12" fillId="6" borderId="67" xfId="2" applyFont="1" applyFill="1" applyBorder="1" applyAlignment="1">
      <alignment horizontal="center" vertical="center"/>
    </xf>
    <xf numFmtId="9" fontId="12" fillId="6" borderId="30" xfId="2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0" fillId="0" borderId="30" xfId="0" applyBorder="1" applyAlignment="1">
      <alignment horizontal="center" vertic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5" borderId="52" xfId="0" applyFont="1" applyFill="1" applyBorder="1" applyAlignment="1">
      <alignment horizontal="center"/>
    </xf>
    <xf numFmtId="0" fontId="2" fillId="5" borderId="40" xfId="0" applyFont="1" applyFill="1" applyBorder="1" applyAlignment="1">
      <alignment horizontal="center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2" fillId="3" borderId="39" xfId="0" applyFont="1" applyFill="1" applyBorder="1" applyAlignment="1">
      <alignment horizontal="center"/>
    </xf>
    <xf numFmtId="0" fontId="2" fillId="3" borderId="52" xfId="0" applyFont="1" applyFill="1" applyBorder="1" applyAlignment="1">
      <alignment horizontal="center"/>
    </xf>
    <xf numFmtId="0" fontId="2" fillId="3" borderId="40" xfId="0" applyFont="1" applyFill="1" applyBorder="1" applyAlignment="1">
      <alignment horizontal="center"/>
    </xf>
    <xf numFmtId="0" fontId="2" fillId="2" borderId="39" xfId="0" applyFont="1" applyFill="1" applyBorder="1" applyAlignment="1">
      <alignment horizontal="center" vertical="center"/>
    </xf>
    <xf numFmtId="0" fontId="2" fillId="2" borderId="52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2" fillId="4" borderId="39" xfId="0" applyFont="1" applyFill="1" applyBorder="1" applyAlignment="1">
      <alignment horizontal="center"/>
    </xf>
    <xf numFmtId="0" fontId="2" fillId="4" borderId="52" xfId="0" applyFont="1" applyFill="1" applyBorder="1" applyAlignment="1">
      <alignment horizontal="center"/>
    </xf>
    <xf numFmtId="0" fontId="2" fillId="4" borderId="40" xfId="0" applyFont="1" applyFill="1" applyBorder="1" applyAlignment="1">
      <alignment horizontal="center"/>
    </xf>
    <xf numFmtId="0" fontId="7" fillId="4" borderId="28" xfId="0" applyFont="1" applyFill="1" applyBorder="1" applyAlignment="1">
      <alignment horizontal="center" vertical="center" wrapText="1"/>
    </xf>
    <xf numFmtId="0" fontId="7" fillId="4" borderId="29" xfId="0" applyFont="1" applyFill="1" applyBorder="1" applyAlignment="1">
      <alignment horizontal="center" vertical="center" wrapText="1"/>
    </xf>
    <xf numFmtId="0" fontId="7" fillId="4" borderId="30" xfId="0" applyFont="1" applyFill="1" applyBorder="1" applyAlignment="1">
      <alignment horizontal="center" vertical="center" wrapText="1"/>
    </xf>
    <xf numFmtId="0" fontId="7" fillId="4" borderId="28" xfId="0" applyFont="1" applyFill="1" applyBorder="1" applyAlignment="1">
      <alignment horizontal="center" vertical="center"/>
    </xf>
    <xf numFmtId="0" fontId="7" fillId="4" borderId="29" xfId="0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center" vertical="center"/>
    </xf>
    <xf numFmtId="0" fontId="7" fillId="4" borderId="39" xfId="0" applyFont="1" applyFill="1" applyBorder="1" applyAlignment="1">
      <alignment horizontal="center" vertical="center" wrapText="1"/>
    </xf>
    <xf numFmtId="0" fontId="7" fillId="4" borderId="61" xfId="0" applyFont="1" applyFill="1" applyBorder="1" applyAlignment="1">
      <alignment horizontal="center" vertical="center" wrapText="1"/>
    </xf>
    <xf numFmtId="0" fontId="7" fillId="4" borderId="57" xfId="0" applyFont="1" applyFill="1" applyBorder="1" applyAlignment="1">
      <alignment horizontal="center" vertical="center" wrapText="1"/>
    </xf>
    <xf numFmtId="0" fontId="5" fillId="8" borderId="7" xfId="0" applyFont="1" applyFill="1" applyBorder="1" applyAlignment="1">
      <alignment horizontal="center" vertical="center"/>
    </xf>
    <xf numFmtId="0" fontId="5" fillId="8" borderId="8" xfId="0" applyFont="1" applyFill="1" applyBorder="1" applyAlignment="1">
      <alignment horizontal="center" vertical="center"/>
    </xf>
    <xf numFmtId="0" fontId="5" fillId="8" borderId="9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52" xfId="0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0" fontId="11" fillId="0" borderId="57" xfId="0" applyFont="1" applyBorder="1" applyAlignment="1">
      <alignment horizontal="center" vertical="center"/>
    </xf>
    <xf numFmtId="0" fontId="11" fillId="0" borderId="63" xfId="0" applyFont="1" applyBorder="1" applyAlignment="1">
      <alignment horizontal="center" vertical="center"/>
    </xf>
    <xf numFmtId="0" fontId="11" fillId="0" borderId="6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8" borderId="39" xfId="0" applyFont="1" applyFill="1" applyBorder="1" applyAlignment="1">
      <alignment horizontal="center" vertical="center"/>
    </xf>
    <xf numFmtId="0" fontId="5" fillId="8" borderId="52" xfId="0" applyFont="1" applyFill="1" applyBorder="1" applyAlignment="1">
      <alignment horizontal="center" vertical="center"/>
    </xf>
    <xf numFmtId="0" fontId="5" fillId="9" borderId="7" xfId="0" applyFont="1" applyFill="1" applyBorder="1" applyAlignment="1">
      <alignment horizontal="center"/>
    </xf>
    <xf numFmtId="0" fontId="5" fillId="9" borderId="8" xfId="0" applyFont="1" applyFill="1" applyBorder="1" applyAlignment="1">
      <alignment horizontal="center"/>
    </xf>
    <xf numFmtId="0" fontId="5" fillId="9" borderId="9" xfId="0" applyFont="1" applyFill="1" applyBorder="1" applyAlignment="1">
      <alignment horizontal="center"/>
    </xf>
    <xf numFmtId="0" fontId="14" fillId="0" borderId="0" xfId="0" applyFont="1"/>
    <xf numFmtId="0" fontId="0" fillId="0" borderId="0" xfId="0" quotePrefix="1"/>
    <xf numFmtId="9" fontId="13" fillId="0" borderId="0" xfId="0" applyNumberFormat="1" applyFont="1" applyAlignment="1">
      <alignment horizontal="center" vertical="center"/>
    </xf>
    <xf numFmtId="10" fontId="13" fillId="0" borderId="0" xfId="0" applyNumberFormat="1" applyFont="1" applyAlignment="1">
      <alignment horizontal="center" vertical="center"/>
    </xf>
  </cellXfs>
  <cellStyles count="4">
    <cellStyle name="Monétaire" xfId="1" builtinId="4"/>
    <cellStyle name="Normal" xfId="0" builtinId="0"/>
    <cellStyle name="Pourcentage" xfId="2" builtinId="5"/>
    <cellStyle name="Pourcentage 2" xfId="3"/>
  </cellStyles>
  <dxfs count="153"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3905808943693347E-3"/>
          <c:y val="2.0895698848454762E-2"/>
          <c:w val="0.99285825120916493"/>
          <c:h val="0.96692487763353896"/>
        </c:manualLayout>
      </c:layout>
      <c:barChart>
        <c:barDir val="bar"/>
        <c:grouping val="clustered"/>
        <c:varyColors val="0"/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Italy!$Y$3</c:f>
            </c:numRef>
          </c:val>
          <c:extLst>
            <c:ext xmlns:c16="http://schemas.microsoft.com/office/drawing/2014/chart" uri="{C3380CC4-5D6E-409C-BE32-E72D297353CC}">
              <c16:uniqueId val="{00000000-D1AE-4AC3-BBD3-910D9B9858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71216"/>
        <c:axId val="1196571632"/>
      </c:barChart>
      <c:barChart>
        <c:barDir val="bar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Italy!$B$13</c:f>
              <c:numCache>
                <c:formatCode>0.00%</c:formatCode>
                <c:ptCount val="1"/>
                <c:pt idx="0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1AE-4AC3-BBD3-910D9B985861}"/>
            </c:ext>
          </c:extLst>
        </c:ser>
        <c:ser>
          <c:idx val="2"/>
          <c:order val="2"/>
          <c:spPr>
            <a:solidFill>
              <a:srgbClr val="FFC000"/>
            </a:solidFill>
            <a:ln>
              <a:noFill/>
            </a:ln>
            <a:effectLst/>
          </c:spPr>
          <c:invertIfNegative val="0"/>
          <c:val>
            <c:numRef>
              <c:f>Italy!$B$14</c:f>
              <c:numCache>
                <c:formatCode>0.00%</c:formatCode>
                <c:ptCount val="1"/>
                <c:pt idx="0">
                  <c:v>0.89880739110405894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FE-46BA-BAAC-6BCE19C01BE0}"/>
            </c:ext>
          </c:extLst>
        </c:ser>
        <c:ser>
          <c:idx val="3"/>
          <c:order val="3"/>
          <c:spPr>
            <a:solidFill>
              <a:srgbClr val="00B050"/>
            </a:solidFill>
            <a:ln>
              <a:noFill/>
            </a:ln>
            <a:effectLst/>
          </c:spPr>
          <c:invertIfNegative val="0"/>
          <c:val>
            <c:numRef>
              <c:f>Italy!$B$15</c:f>
              <c:numCache>
                <c:formatCode>0.00%</c:formatCode>
                <c:ptCount val="1"/>
                <c:pt idx="0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FE-46BA-BAAC-6BCE19C01B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49168"/>
        <c:axId val="253717295"/>
      </c:barChart>
      <c:catAx>
        <c:axId val="1196571216"/>
        <c:scaling>
          <c:orientation val="minMax"/>
        </c:scaling>
        <c:delete val="1"/>
        <c:axPos val="l"/>
        <c:majorTickMark val="none"/>
        <c:minorTickMark val="none"/>
        <c:tickLblPos val="nextTo"/>
        <c:crossAx val="1196571632"/>
        <c:crossesAt val="0"/>
        <c:auto val="1"/>
        <c:lblAlgn val="ctr"/>
        <c:lblOffset val="100"/>
        <c:noMultiLvlLbl val="0"/>
      </c:catAx>
      <c:valAx>
        <c:axId val="1196571632"/>
        <c:scaling>
          <c:orientation val="minMax"/>
          <c:max val="1"/>
        </c:scaling>
        <c:delete val="1"/>
        <c:axPos val="b"/>
        <c:numFmt formatCode="0%" sourceLinked="1"/>
        <c:majorTickMark val="none"/>
        <c:minorTickMark val="none"/>
        <c:tickLblPos val="nextTo"/>
        <c:crossAx val="1196571216"/>
        <c:crosses val="autoZero"/>
        <c:crossBetween val="between"/>
        <c:minorUnit val="1"/>
      </c:valAx>
      <c:valAx>
        <c:axId val="253717295"/>
        <c:scaling>
          <c:orientation val="minMax"/>
        </c:scaling>
        <c:delete val="1"/>
        <c:axPos val="t"/>
        <c:numFmt formatCode="0.00%" sourceLinked="1"/>
        <c:majorTickMark val="out"/>
        <c:minorTickMark val="none"/>
        <c:tickLblPos val="nextTo"/>
        <c:crossAx val="1196549168"/>
        <c:crosses val="max"/>
        <c:crossBetween val="between"/>
      </c:valAx>
      <c:catAx>
        <c:axId val="1196549168"/>
        <c:scaling>
          <c:orientation val="minMax"/>
        </c:scaling>
        <c:delete val="1"/>
        <c:axPos val="l"/>
        <c:majorTickMark val="out"/>
        <c:minorTickMark val="none"/>
        <c:tickLblPos val="nextTo"/>
        <c:crossAx val="25371729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3905808943693347E-3"/>
          <c:y val="2.0895698848454762E-2"/>
          <c:w val="0.99285825120916493"/>
          <c:h val="0.96692487763353896"/>
        </c:manualLayout>
      </c:layout>
      <c:barChart>
        <c:barDir val="bar"/>
        <c:grouping val="clustered"/>
        <c:varyColors val="0"/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Italy!$Y$3</c:f>
            </c:numRef>
          </c:val>
          <c:extLst>
            <c:ext xmlns:c16="http://schemas.microsoft.com/office/drawing/2014/chart" uri="{C3380CC4-5D6E-409C-BE32-E72D297353CC}">
              <c16:uniqueId val="{00000000-12E9-4231-BDE4-118AE06F77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71216"/>
        <c:axId val="1196571632"/>
      </c:barChart>
      <c:barChart>
        <c:barDir val="bar"/>
        <c:grouping val="clustered"/>
        <c:varyColors val="0"/>
        <c:ser>
          <c:idx val="0"/>
          <c:order val="0"/>
          <c:spPr>
            <a:gradFill flip="none" rotWithShape="1">
              <a:gsLst>
                <a:gs pos="0">
                  <a:srgbClr val="00B050">
                    <a:shade val="30000"/>
                    <a:satMod val="115000"/>
                  </a:srgbClr>
                </a:gs>
                <a:gs pos="50000">
                  <a:srgbClr val="00B050">
                    <a:shade val="67500"/>
                    <a:satMod val="115000"/>
                  </a:srgbClr>
                </a:gs>
                <a:gs pos="100000">
                  <a:srgbClr val="00B050">
                    <a:shade val="100000"/>
                    <a:satMod val="115000"/>
                  </a:srgbClr>
                </a:gs>
              </a:gsLst>
              <a:lin ang="2700000" scaled="1"/>
              <a:tileRect/>
            </a:gradFill>
            <a:ln>
              <a:noFill/>
            </a:ln>
            <a:effectLst/>
          </c:spPr>
          <c:invertIfNegative val="0"/>
          <c:dLbls>
            <c:dLbl>
              <c:idx val="0"/>
              <c:layout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8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12E9-4231-BDE4-118AE06F77C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Italy!$R$6</c:f>
              <c:numCache>
                <c:formatCode>0%</c:formatCode>
                <c:ptCount val="1"/>
                <c:pt idx="0">
                  <c:v>1.001733703190014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2E9-4231-BDE4-118AE06F77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96549168"/>
        <c:axId val="253717295"/>
      </c:barChart>
      <c:catAx>
        <c:axId val="1196571216"/>
        <c:scaling>
          <c:orientation val="minMax"/>
        </c:scaling>
        <c:delete val="1"/>
        <c:axPos val="l"/>
        <c:majorTickMark val="none"/>
        <c:minorTickMark val="none"/>
        <c:tickLblPos val="nextTo"/>
        <c:crossAx val="1196571632"/>
        <c:crossesAt val="0"/>
        <c:auto val="1"/>
        <c:lblAlgn val="ctr"/>
        <c:lblOffset val="100"/>
        <c:noMultiLvlLbl val="0"/>
      </c:catAx>
      <c:valAx>
        <c:axId val="1196571632"/>
        <c:scaling>
          <c:orientation val="minMax"/>
          <c:max val="1"/>
        </c:scaling>
        <c:delete val="1"/>
        <c:axPos val="b"/>
        <c:numFmt formatCode="0%" sourceLinked="1"/>
        <c:majorTickMark val="none"/>
        <c:minorTickMark val="none"/>
        <c:tickLblPos val="nextTo"/>
        <c:crossAx val="1196571216"/>
        <c:crosses val="autoZero"/>
        <c:crossBetween val="between"/>
        <c:minorUnit val="1"/>
      </c:valAx>
      <c:valAx>
        <c:axId val="253717295"/>
        <c:scaling>
          <c:orientation val="minMax"/>
        </c:scaling>
        <c:delete val="1"/>
        <c:axPos val="t"/>
        <c:numFmt formatCode="0%" sourceLinked="1"/>
        <c:majorTickMark val="out"/>
        <c:minorTickMark val="none"/>
        <c:tickLblPos val="nextTo"/>
        <c:crossAx val="1196549168"/>
        <c:crosses val="max"/>
        <c:crossBetween val="between"/>
      </c:valAx>
      <c:catAx>
        <c:axId val="1196549168"/>
        <c:scaling>
          <c:orientation val="minMax"/>
        </c:scaling>
        <c:delete val="1"/>
        <c:axPos val="l"/>
        <c:majorTickMark val="out"/>
        <c:minorTickMark val="none"/>
        <c:tickLblPos val="nextTo"/>
        <c:crossAx val="25371729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28575</xdr:colOff>
      <xdr:row>30</xdr:row>
      <xdr:rowOff>95250</xdr:rowOff>
    </xdr:from>
    <xdr:to>
      <xdr:col>30</xdr:col>
      <xdr:colOff>342900</xdr:colOff>
      <xdr:row>30</xdr:row>
      <xdr:rowOff>314325</xdr:rowOff>
    </xdr:to>
    <xdr:sp macro="" textlink="">
      <xdr:nvSpPr>
        <xdr:cNvPr id="22" name="Rectangle 21"/>
        <xdr:cNvSpPr/>
      </xdr:nvSpPr>
      <xdr:spPr>
        <a:xfrm>
          <a:off x="20859750" y="2181225"/>
          <a:ext cx="2600325" cy="2190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171450</xdr:colOff>
      <xdr:row>13</xdr:row>
      <xdr:rowOff>142875</xdr:rowOff>
    </xdr:from>
    <xdr:to>
      <xdr:col>14</xdr:col>
      <xdr:colOff>723450</xdr:colOff>
      <xdr:row>32</xdr:row>
      <xdr:rowOff>113850</xdr:rowOff>
    </xdr:to>
    <xdr:grpSp>
      <xdr:nvGrpSpPr>
        <xdr:cNvPr id="26" name="Groupe 25"/>
        <xdr:cNvGrpSpPr/>
      </xdr:nvGrpSpPr>
      <xdr:grpSpPr>
        <a:xfrm>
          <a:off x="1952625" y="3429000"/>
          <a:ext cx="3600000" cy="3600000"/>
          <a:chOff x="1019175" y="1123950"/>
          <a:chExt cx="3600000" cy="3600000"/>
        </a:xfrm>
      </xdr:grpSpPr>
      <xdr:grpSp>
        <xdr:nvGrpSpPr>
          <xdr:cNvPr id="2" name="Groupe 1"/>
          <xdr:cNvGrpSpPr/>
        </xdr:nvGrpSpPr>
        <xdr:grpSpPr>
          <a:xfrm>
            <a:off x="1019175" y="1123950"/>
            <a:ext cx="3600000" cy="3600000"/>
            <a:chOff x="21659849" y="1609725"/>
            <a:chExt cx="3600000" cy="3600000"/>
          </a:xfrm>
        </xdr:grpSpPr>
        <xdr:grpSp>
          <xdr:nvGrpSpPr>
            <xdr:cNvPr id="3" name="Groupe 2"/>
            <xdr:cNvGrpSpPr/>
          </xdr:nvGrpSpPr>
          <xdr:grpSpPr>
            <a:xfrm>
              <a:off x="21659849" y="1609725"/>
              <a:ext cx="3600000" cy="3600000"/>
              <a:chOff x="21659849" y="1524000"/>
              <a:chExt cx="3600000" cy="3600000"/>
            </a:xfrm>
          </xdr:grpSpPr>
          <xdr:grpSp>
            <xdr:nvGrpSpPr>
              <xdr:cNvPr id="6" name="Groupe 5"/>
              <xdr:cNvGrpSpPr/>
            </xdr:nvGrpSpPr>
            <xdr:grpSpPr>
              <a:xfrm>
                <a:off x="21659849" y="1524000"/>
                <a:ext cx="3600000" cy="3600000"/>
                <a:chOff x="21478874" y="1628775"/>
                <a:chExt cx="3600000" cy="3600000"/>
              </a:xfrm>
            </xdr:grpSpPr>
            <xdr:sp macro="" textlink="">
              <xdr:nvSpPr>
                <xdr:cNvPr id="9" name="Rectangle à coins arrondis 8"/>
                <xdr:cNvSpPr/>
              </xdr:nvSpPr>
              <xdr:spPr>
                <a:xfrm>
                  <a:off x="21478874" y="1628775"/>
                  <a:ext cx="3600000" cy="3600000"/>
                </a:xfrm>
                <a:prstGeom prst="roundRect">
                  <a:avLst/>
                </a:prstGeom>
                <a:solidFill>
                  <a:schemeClr val="accent5">
                    <a:lumMod val="50000"/>
                  </a:schemeClr>
                </a:solidFill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en-GB" sz="1100"/>
                </a:p>
              </xdr:txBody>
            </xdr:sp>
            <xdr:graphicFrame macro="">
              <xdr:nvGraphicFramePr>
                <xdr:cNvPr id="10" name="Graphique 9"/>
                <xdr:cNvGraphicFramePr/>
              </xdr:nvGraphicFramePr>
              <xdr:xfrm>
                <a:off x="21697949" y="4095751"/>
                <a:ext cx="3105151" cy="628650"/>
              </xdr:xfrm>
              <a:graphic>
                <a:graphicData uri="http://schemas.openxmlformats.org/drawingml/2006/chart">
                  <c:chart xmlns:c="http://schemas.openxmlformats.org/drawingml/2006/chart" xmlns:r="http://schemas.openxmlformats.org/officeDocument/2006/relationships" r:id="rId1"/>
                </a:graphicData>
              </a:graphic>
            </xdr:graphicFrame>
            <xdr:sp macro="" textlink="Italy!B6">
              <xdr:nvSpPr>
                <xdr:cNvPr id="11" name="Rectangle 10"/>
                <xdr:cNvSpPr/>
              </xdr:nvSpPr>
              <xdr:spPr>
                <a:xfrm>
                  <a:off x="22031325" y="1790700"/>
                  <a:ext cx="2457450" cy="447675"/>
                </a:xfrm>
                <a:prstGeom prst="rect">
                  <a:avLst/>
                </a:prstGeom>
                <a:noFill/>
                <a:ln>
                  <a:solidFill>
                    <a:schemeClr val="bg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/>
                <a:lstStyle/>
                <a:p>
                  <a:pPr algn="ctr"/>
                  <a:fld id="{17C54357-F0A3-4DB2-B47D-0CF2507FC807}" type="TxLink">
                    <a:rPr lang="en-US" sz="2400" b="1" i="0" u="none" strike="noStrike">
                      <a:solidFill>
                        <a:schemeClr val="bg1"/>
                      </a:solidFill>
                      <a:latin typeface="Calibri"/>
                      <a:cs typeface="Calibri"/>
                    </a:rPr>
                    <a:pPr algn="ctr"/>
                    <a:t>CSG SnS</a:t>
                  </a:fld>
                  <a:endParaRPr lang="en-GB" sz="400000" b="1">
                    <a:solidFill>
                      <a:schemeClr val="bg1"/>
                    </a:solidFill>
                  </a:endParaRPr>
                </a:p>
              </xdr:txBody>
            </xdr:sp>
          </xdr:grpSp>
          <xdr:sp macro="" textlink="Italy!L5">
            <xdr:nvSpPr>
              <xdr:cNvPr id="7" name="Rectangle 6"/>
              <xdr:cNvSpPr/>
            </xdr:nvSpPr>
            <xdr:spPr>
              <a:xfrm>
                <a:off x="23374350" y="2133600"/>
                <a:ext cx="1323975" cy="485775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241C9BCC-6607-4E30-92C6-C672EEFB233F}" type="TxLink">
                  <a:rPr lang="en-US" sz="1100" b="1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pPr algn="ctr"/>
                  <a:t># Resellers Actual</a:t>
                </a:fld>
                <a:endParaRPr lang="en-GB" sz="1400" b="1">
                  <a:solidFill>
                    <a:schemeClr val="bg1"/>
                  </a:solidFill>
                </a:endParaRPr>
              </a:p>
            </xdr:txBody>
          </xdr:sp>
          <xdr:sp macro="" textlink="$L$16">
            <xdr:nvSpPr>
              <xdr:cNvPr id="8" name="Rectangle 7"/>
              <xdr:cNvSpPr/>
            </xdr:nvSpPr>
            <xdr:spPr>
              <a:xfrm>
                <a:off x="23345774" y="2505075"/>
                <a:ext cx="1323975" cy="485775"/>
              </a:xfrm>
              <a:prstGeom prst="rect">
                <a:avLst/>
              </a:prstGeom>
              <a:noFill/>
              <a:ln>
                <a:solidFill>
                  <a:schemeClr val="bg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B9AC9486-C4ED-42E8-91B0-A3800C654C31}" type="TxLink">
                  <a:rPr lang="en-US" sz="2400" b="1" i="0" u="none" strike="noStrike">
                    <a:solidFill>
                      <a:schemeClr val="bg1"/>
                    </a:solidFill>
                    <a:latin typeface="Agency FB" panose="020B0503020202020204" pitchFamily="34" charset="0"/>
                    <a:cs typeface="Calibri"/>
                  </a:rPr>
                  <a:pPr algn="ctr"/>
                  <a:t> </a:t>
                </a:fld>
                <a:endParaRPr lang="en-GB" sz="2400" b="1">
                  <a:solidFill>
                    <a:schemeClr val="bg1"/>
                  </a:solidFill>
                  <a:latin typeface="Agency FB" panose="020B0503020202020204" pitchFamily="34" charset="0"/>
                </a:endParaRPr>
              </a:p>
            </xdr:txBody>
          </xdr:sp>
        </xdr:grpSp>
        <xdr:sp macro="" textlink="Italy!K5">
          <xdr:nvSpPr>
            <xdr:cNvPr id="4" name="Rectangle 3"/>
            <xdr:cNvSpPr/>
          </xdr:nvSpPr>
          <xdr:spPr>
            <a:xfrm>
              <a:off x="23364824" y="3048000"/>
              <a:ext cx="1323975" cy="48577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BEA41E04-5B49-45CB-A9A2-67BA8E2AFF7A}" type="TxLink">
                <a:rPr lang="en-US" sz="1100" b="1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# of Resellers Target</a:t>
              </a:fld>
              <a:endParaRPr lang="en-GB" sz="1400" b="1">
                <a:solidFill>
                  <a:schemeClr val="bg1"/>
                </a:solidFill>
              </a:endParaRPr>
            </a:p>
          </xdr:txBody>
        </xdr:sp>
        <xdr:sp macro="" textlink="$K$16">
          <xdr:nvSpPr>
            <xdr:cNvPr id="5" name="Rectangle 4"/>
            <xdr:cNvSpPr/>
          </xdr:nvSpPr>
          <xdr:spPr>
            <a:xfrm>
              <a:off x="23336249" y="3486150"/>
              <a:ext cx="1343026" cy="485775"/>
            </a:xfrm>
            <a:prstGeom prst="rect">
              <a:avLst/>
            </a:prstGeom>
            <a:noFill/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ctr"/>
              <a:fld id="{93C6B97C-5529-4DA1-9D77-389CB8AC214A}" type="TxLink">
                <a:rPr lang="en-US" sz="2400" b="1" i="0" u="none" strike="noStrike">
                  <a:solidFill>
                    <a:schemeClr val="bg1"/>
                  </a:solidFill>
                  <a:latin typeface="Agency FB" panose="020B0503020202020204" pitchFamily="34" charset="0"/>
                  <a:ea typeface="+mn-ea"/>
                  <a:cs typeface="Calibri"/>
                </a:rPr>
                <a:pPr marL="0" indent="0" algn="ctr"/>
                <a:t> </a:t>
              </a:fld>
              <a:endParaRPr lang="en-GB" sz="2400" b="1" i="0" u="none" strike="noStrike">
                <a:solidFill>
                  <a:schemeClr val="bg1"/>
                </a:solidFill>
                <a:latin typeface="Agency FB" panose="020B0503020202020204" pitchFamily="34" charset="0"/>
                <a:ea typeface="+mn-ea"/>
                <a:cs typeface="Calibri"/>
              </a:endParaRPr>
            </a:p>
          </xdr:txBody>
        </xdr:sp>
      </xdr:grpSp>
      <xdr:sp macro="" textlink="$N$6">
        <xdr:nvSpPr>
          <xdr:cNvPr id="24" name="Rectangle à coins arrondis 23"/>
          <xdr:cNvSpPr/>
        </xdr:nvSpPr>
        <xdr:spPr>
          <a:xfrm>
            <a:off x="1752600" y="4305300"/>
            <a:ext cx="2114550" cy="304800"/>
          </a:xfrm>
          <a:prstGeom prst="roundRect">
            <a:avLst/>
          </a:prstGeom>
          <a:solidFill>
            <a:srgbClr val="0070C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fld id="{24CED707-839F-475C-BE06-021668A998F2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Target Missed</a:t>
            </a:fld>
            <a:endParaRPr lang="en-GB" sz="1800" b="1">
              <a:solidFill>
                <a:schemeClr val="bg1"/>
              </a:solidFill>
            </a:endParaRPr>
          </a:p>
        </xdr:txBody>
      </xdr:sp>
    </xdr:grpSp>
    <xdr:clientData/>
  </xdr:twoCellAnchor>
  <xdr:twoCellAnchor editAs="oneCell">
    <xdr:from>
      <xdr:col>10</xdr:col>
      <xdr:colOff>499824</xdr:colOff>
      <xdr:row>18</xdr:row>
      <xdr:rowOff>76200</xdr:rowOff>
    </xdr:from>
    <xdr:to>
      <xdr:col>12</xdr:col>
      <xdr:colOff>123825</xdr:colOff>
      <xdr:row>25</xdr:row>
      <xdr:rowOff>113447</xdr:rowOff>
    </xdr:to>
    <xdr:pic>
      <xdr:nvPicPr>
        <xdr:cNvPr id="55" name="Image 54" descr="Italy Flag Map · Free vector graphic on Pixabay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0999" y="4810125"/>
          <a:ext cx="1148001" cy="1370747"/>
        </a:xfrm>
        <a:prstGeom prst="rect">
          <a:avLst/>
        </a:prstGeom>
      </xdr:spPr>
    </xdr:pic>
    <xdr:clientData/>
  </xdr:twoCellAnchor>
  <xdr:twoCellAnchor>
    <xdr:from>
      <xdr:col>30</xdr:col>
      <xdr:colOff>95250</xdr:colOff>
      <xdr:row>6</xdr:row>
      <xdr:rowOff>0</xdr:rowOff>
    </xdr:from>
    <xdr:to>
      <xdr:col>33</xdr:col>
      <xdr:colOff>409575</xdr:colOff>
      <xdr:row>7</xdr:row>
      <xdr:rowOff>28575</xdr:rowOff>
    </xdr:to>
    <xdr:sp macro="" textlink="">
      <xdr:nvSpPr>
        <xdr:cNvPr id="56" name="Rectangle 55"/>
        <xdr:cNvSpPr/>
      </xdr:nvSpPr>
      <xdr:spPr>
        <a:xfrm>
          <a:off x="17116425" y="2409825"/>
          <a:ext cx="2600325" cy="2190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15</xdr:col>
      <xdr:colOff>542925</xdr:colOff>
      <xdr:row>13</xdr:row>
      <xdr:rowOff>142875</xdr:rowOff>
    </xdr:from>
    <xdr:to>
      <xdr:col>20</xdr:col>
      <xdr:colOff>332925</xdr:colOff>
      <xdr:row>32</xdr:row>
      <xdr:rowOff>113850</xdr:rowOff>
    </xdr:to>
    <xdr:grpSp>
      <xdr:nvGrpSpPr>
        <xdr:cNvPr id="58" name="Groupe 57"/>
        <xdr:cNvGrpSpPr/>
      </xdr:nvGrpSpPr>
      <xdr:grpSpPr>
        <a:xfrm>
          <a:off x="6134100" y="3429000"/>
          <a:ext cx="3600000" cy="3600000"/>
          <a:chOff x="1019175" y="1123950"/>
          <a:chExt cx="3600000" cy="3600000"/>
        </a:xfrm>
      </xdr:grpSpPr>
      <xdr:grpSp>
        <xdr:nvGrpSpPr>
          <xdr:cNvPr id="59" name="Groupe 58"/>
          <xdr:cNvGrpSpPr/>
        </xdr:nvGrpSpPr>
        <xdr:grpSpPr>
          <a:xfrm>
            <a:off x="1019175" y="1123950"/>
            <a:ext cx="3600000" cy="3600000"/>
            <a:chOff x="21659849" y="1609725"/>
            <a:chExt cx="3600000" cy="3600000"/>
          </a:xfrm>
        </xdr:grpSpPr>
        <xdr:grpSp>
          <xdr:nvGrpSpPr>
            <xdr:cNvPr id="61" name="Groupe 60"/>
            <xdr:cNvGrpSpPr/>
          </xdr:nvGrpSpPr>
          <xdr:grpSpPr>
            <a:xfrm>
              <a:off x="21659849" y="1609725"/>
              <a:ext cx="3600000" cy="3600000"/>
              <a:chOff x="21659849" y="1524000"/>
              <a:chExt cx="3600000" cy="3600000"/>
            </a:xfrm>
          </xdr:grpSpPr>
          <xdr:grpSp>
            <xdr:nvGrpSpPr>
              <xdr:cNvPr id="64" name="Groupe 63"/>
              <xdr:cNvGrpSpPr/>
            </xdr:nvGrpSpPr>
            <xdr:grpSpPr>
              <a:xfrm>
                <a:off x="21659849" y="1524000"/>
                <a:ext cx="3600000" cy="3600000"/>
                <a:chOff x="21478874" y="1628775"/>
                <a:chExt cx="3600000" cy="3600000"/>
              </a:xfrm>
            </xdr:grpSpPr>
            <xdr:sp macro="" textlink="">
              <xdr:nvSpPr>
                <xdr:cNvPr id="67" name="Rectangle à coins arrondis 66"/>
                <xdr:cNvSpPr/>
              </xdr:nvSpPr>
              <xdr:spPr>
                <a:xfrm>
                  <a:off x="21478874" y="1628775"/>
                  <a:ext cx="3600000" cy="3600000"/>
                </a:xfrm>
                <a:prstGeom prst="roundRect">
                  <a:avLst/>
                </a:prstGeom>
                <a:solidFill>
                  <a:schemeClr val="accent5">
                    <a:lumMod val="50000"/>
                  </a:schemeClr>
                </a:solidFill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en-GB" sz="1100"/>
                </a:p>
              </xdr:txBody>
            </xdr:sp>
            <xdr:graphicFrame macro="">
              <xdr:nvGraphicFramePr>
                <xdr:cNvPr id="68" name="Graphique 67"/>
                <xdr:cNvGraphicFramePr/>
              </xdr:nvGraphicFramePr>
              <xdr:xfrm>
                <a:off x="21697949" y="4095751"/>
                <a:ext cx="3105151" cy="628650"/>
              </xdr:xfrm>
              <a:graphic>
                <a:graphicData uri="http://schemas.openxmlformats.org/drawingml/2006/chart">
                  <c:chart xmlns:c="http://schemas.openxmlformats.org/drawingml/2006/chart" xmlns:r="http://schemas.openxmlformats.org/officeDocument/2006/relationships" r:id="rId3"/>
                </a:graphicData>
              </a:graphic>
            </xdr:graphicFrame>
            <xdr:sp macro="" textlink="Italy!B6">
              <xdr:nvSpPr>
                <xdr:cNvPr id="69" name="Rectangle 68"/>
                <xdr:cNvSpPr/>
              </xdr:nvSpPr>
              <xdr:spPr>
                <a:xfrm>
                  <a:off x="22031325" y="1790700"/>
                  <a:ext cx="2457450" cy="447675"/>
                </a:xfrm>
                <a:prstGeom prst="rect">
                  <a:avLst/>
                </a:prstGeom>
                <a:noFill/>
                <a:ln>
                  <a:solidFill>
                    <a:schemeClr val="bg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/>
                <a:lstStyle/>
                <a:p>
                  <a:pPr algn="ctr"/>
                  <a:fld id="{17C54357-F0A3-4DB2-B47D-0CF2507FC807}" type="TxLink">
                    <a:rPr lang="en-US" sz="2400" b="1" i="0" u="none" strike="noStrike">
                      <a:solidFill>
                        <a:schemeClr val="bg1"/>
                      </a:solidFill>
                      <a:latin typeface="Calibri"/>
                      <a:cs typeface="Calibri"/>
                    </a:rPr>
                    <a:pPr algn="ctr"/>
                    <a:t>CSG SnS</a:t>
                  </a:fld>
                  <a:endParaRPr lang="en-GB" sz="400000" b="1">
                    <a:solidFill>
                      <a:schemeClr val="bg1"/>
                    </a:solidFill>
                  </a:endParaRPr>
                </a:p>
              </xdr:txBody>
            </xdr:sp>
          </xdr:grpSp>
          <xdr:sp macro="" textlink="$Q$5">
            <xdr:nvSpPr>
              <xdr:cNvPr id="65" name="Rectangle 64"/>
              <xdr:cNvSpPr/>
            </xdr:nvSpPr>
            <xdr:spPr>
              <a:xfrm>
                <a:off x="23364825" y="2095500"/>
                <a:ext cx="1323975" cy="485775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8E4A06A2-3BD5-456E-B940-B9CEA8A77CAE}" type="TxLink">
                  <a:rPr lang="en-US" sz="1000" b="1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pPr algn="ctr"/>
                  <a:t>Average rev per partner actual</a:t>
                </a:fld>
                <a:endParaRPr lang="en-GB" sz="1400" b="1">
                  <a:solidFill>
                    <a:schemeClr val="bg1"/>
                  </a:solidFill>
                </a:endParaRPr>
              </a:p>
            </xdr:txBody>
          </xdr:sp>
          <xdr:sp macro="" textlink="$Q$6">
            <xdr:nvSpPr>
              <xdr:cNvPr id="66" name="Rectangle 65"/>
              <xdr:cNvSpPr/>
            </xdr:nvSpPr>
            <xdr:spPr>
              <a:xfrm>
                <a:off x="23345774" y="2505075"/>
                <a:ext cx="1323975" cy="485775"/>
              </a:xfrm>
              <a:prstGeom prst="rect">
                <a:avLst/>
              </a:prstGeom>
              <a:noFill/>
              <a:ln>
                <a:solidFill>
                  <a:schemeClr val="bg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fld id="{87AE4A51-BE2B-42DB-8578-83947A011F9C}" type="TxLink">
                  <a:rPr lang="en-US" sz="2400" b="0" i="0" u="none" strike="noStrike">
                    <a:solidFill>
                      <a:schemeClr val="bg1"/>
                    </a:solidFill>
                    <a:latin typeface="Calibri"/>
                    <a:cs typeface="Calibri"/>
                  </a:rPr>
                  <a:pPr algn="ctr"/>
                  <a:t> $8 667 </a:t>
                </a:fld>
                <a:endParaRPr lang="en-GB" sz="4800" b="1">
                  <a:solidFill>
                    <a:schemeClr val="bg1"/>
                  </a:solidFill>
                  <a:latin typeface="Agency FB" panose="020B0503020202020204" pitchFamily="34" charset="0"/>
                </a:endParaRPr>
              </a:p>
            </xdr:txBody>
          </xdr:sp>
        </xdr:grpSp>
        <xdr:sp macro="" textlink="$P$5">
          <xdr:nvSpPr>
            <xdr:cNvPr id="62" name="Rectangle 61"/>
            <xdr:cNvSpPr/>
          </xdr:nvSpPr>
          <xdr:spPr>
            <a:xfrm>
              <a:off x="23364824" y="3048000"/>
              <a:ext cx="1323975" cy="48577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fld id="{0499D008-7808-4647-BE5A-DFAA5D729A9A}" type="TxLink">
                <a:rPr lang="en-US" sz="1100" b="1" i="0" u="none" strike="noStrike">
                  <a:solidFill>
                    <a:schemeClr val="bg1"/>
                  </a:solidFill>
                  <a:latin typeface="Calibri"/>
                  <a:cs typeface="Calibri"/>
                </a:rPr>
                <a:pPr algn="ctr"/>
                <a:t>average rev per partner target</a:t>
              </a:fld>
              <a:endParaRPr lang="en-GB" sz="1800" b="1">
                <a:solidFill>
                  <a:schemeClr val="bg1"/>
                </a:solidFill>
              </a:endParaRPr>
            </a:p>
          </xdr:txBody>
        </xdr:sp>
        <xdr:sp macro="" textlink="$P$6">
          <xdr:nvSpPr>
            <xdr:cNvPr id="63" name="Rectangle 62"/>
            <xdr:cNvSpPr/>
          </xdr:nvSpPr>
          <xdr:spPr>
            <a:xfrm>
              <a:off x="23336249" y="3486150"/>
              <a:ext cx="1343026" cy="485775"/>
            </a:xfrm>
            <a:prstGeom prst="rect">
              <a:avLst/>
            </a:prstGeom>
            <a:noFill/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ctr"/>
              <a:fld id="{87AA3ED0-E207-4A48-B3C6-EDB19E911F28}" type="TxLink">
                <a:rPr lang="en-US" sz="2400" b="0" i="0" u="none" strike="noStrike">
                  <a:solidFill>
                    <a:schemeClr val="bg1"/>
                  </a:solidFill>
                  <a:latin typeface="Calibri"/>
                  <a:ea typeface="+mn-ea"/>
                  <a:cs typeface="Calibri"/>
                </a:rPr>
                <a:pPr marL="0" indent="0" algn="ctr"/>
                <a:t> $8 652 </a:t>
              </a:fld>
              <a:endParaRPr lang="en-GB" sz="4800" b="1" i="0" u="none" strike="noStrike">
                <a:solidFill>
                  <a:schemeClr val="bg1"/>
                </a:solidFill>
                <a:latin typeface="Agency FB" panose="020B0503020202020204" pitchFamily="34" charset="0"/>
                <a:ea typeface="+mn-ea"/>
                <a:cs typeface="Calibri"/>
              </a:endParaRPr>
            </a:p>
          </xdr:txBody>
        </xdr:sp>
      </xdr:grpSp>
      <xdr:sp macro="" textlink="$S$6">
        <xdr:nvSpPr>
          <xdr:cNvPr id="60" name="Rectangle à coins arrondis 59"/>
          <xdr:cNvSpPr/>
        </xdr:nvSpPr>
        <xdr:spPr>
          <a:xfrm>
            <a:off x="1752600" y="4305300"/>
            <a:ext cx="2114550" cy="304800"/>
          </a:xfrm>
          <a:prstGeom prst="roundRect">
            <a:avLst/>
          </a:prstGeom>
          <a:solidFill>
            <a:srgbClr val="0070C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fld id="{24842F06-5666-4CE8-9E3C-AD664E6A09E4}" type="TxLink">
              <a:rPr lang="en-US" sz="14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Target Achieved</a:t>
            </a:fld>
            <a:endParaRPr lang="en-GB" sz="1800" b="1">
              <a:solidFill>
                <a:schemeClr val="bg1"/>
              </a:solidFill>
            </a:endParaRPr>
          </a:p>
        </xdr:txBody>
      </xdr:sp>
    </xdr:grpSp>
    <xdr:clientData/>
  </xdr:twoCellAnchor>
  <xdr:twoCellAnchor editAs="oneCell">
    <xdr:from>
      <xdr:col>16</xdr:col>
      <xdr:colOff>66675</xdr:colOff>
      <xdr:row>17</xdr:row>
      <xdr:rowOff>180975</xdr:rowOff>
    </xdr:from>
    <xdr:to>
      <xdr:col>17</xdr:col>
      <xdr:colOff>452676</xdr:colOff>
      <xdr:row>25</xdr:row>
      <xdr:rowOff>27722</xdr:rowOff>
    </xdr:to>
    <xdr:pic>
      <xdr:nvPicPr>
        <xdr:cNvPr id="70" name="Image 69" descr="Italy Flag Map · Free vector graphic on Pixabay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19850" y="4238625"/>
          <a:ext cx="1148001" cy="13707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6"/>
  <sheetViews>
    <sheetView topLeftCell="A17" zoomScale="90" zoomScaleNormal="90" workbookViewId="0">
      <pane xSplit="1" ySplit="6" topLeftCell="I28" activePane="bottomRight" state="frozen"/>
      <selection activeCell="A17" sqref="A17"/>
      <selection pane="topRight" activeCell="B17" sqref="B17"/>
      <selection pane="bottomLeft" activeCell="A23" sqref="A23"/>
      <selection pane="bottomRight" activeCell="L32" sqref="L32"/>
    </sheetView>
  </sheetViews>
  <sheetFormatPr baseColWidth="10" defaultColWidth="9.140625" defaultRowHeight="15" x14ac:dyDescent="0.25"/>
  <cols>
    <col min="1" max="1" width="13.42578125" customWidth="1"/>
    <col min="2" max="2" width="12.5703125" customWidth="1"/>
    <col min="3" max="3" width="15.28515625" style="1" customWidth="1"/>
    <col min="4" max="4" width="14.5703125" style="1" customWidth="1"/>
    <col min="5" max="5" width="16.28515625" customWidth="1"/>
    <col min="6" max="6" width="14.140625" style="65" customWidth="1"/>
    <col min="7" max="7" width="10.85546875" style="65" customWidth="1"/>
    <col min="8" max="8" width="12.140625" style="65" customWidth="1"/>
    <col min="9" max="9" width="17.42578125" style="65" customWidth="1"/>
    <col min="10" max="10" width="12" customWidth="1"/>
    <col min="11" max="11" width="14.140625" style="63" customWidth="1"/>
    <col min="12" max="12" width="13.7109375" style="63" customWidth="1"/>
    <col min="13" max="13" width="10.5703125" style="63" customWidth="1"/>
    <col min="14" max="14" width="13.42578125" style="63" customWidth="1"/>
    <col min="15" max="15" width="11.5703125" style="63" customWidth="1"/>
    <col min="16" max="16" width="14.85546875" style="1" customWidth="1"/>
    <col min="17" max="17" width="14.5703125" style="1" customWidth="1"/>
    <col min="18" max="18" width="12.140625" customWidth="1"/>
    <col min="19" max="19" width="16" style="1" customWidth="1"/>
  </cols>
  <sheetData>
    <row r="1" spans="1:12" ht="15.75" thickBot="1" x14ac:dyDescent="0.3">
      <c r="A1" s="315" t="s">
        <v>13</v>
      </c>
      <c r="B1" s="316"/>
      <c r="C1" s="316"/>
      <c r="D1" s="316"/>
      <c r="E1" s="317"/>
      <c r="G1" s="311" t="s">
        <v>11</v>
      </c>
      <c r="H1" s="312"/>
      <c r="I1" s="312"/>
      <c r="J1" s="313"/>
      <c r="K1" s="62"/>
      <c r="L1" s="62"/>
    </row>
    <row r="2" spans="1:12" ht="15.75" thickBot="1" x14ac:dyDescent="0.3">
      <c r="A2" s="4" t="s">
        <v>0</v>
      </c>
      <c r="B2" s="4"/>
      <c r="C2" s="4" t="s">
        <v>2</v>
      </c>
      <c r="D2" s="4" t="s">
        <v>24</v>
      </c>
      <c r="E2" s="4" t="s">
        <v>3</v>
      </c>
      <c r="G2" s="66" t="s">
        <v>0</v>
      </c>
      <c r="H2" s="66"/>
      <c r="I2" s="66" t="s">
        <v>2</v>
      </c>
      <c r="J2" s="6" t="s">
        <v>3</v>
      </c>
      <c r="K2" s="34"/>
      <c r="L2" s="34"/>
    </row>
    <row r="3" spans="1:12" x14ac:dyDescent="0.25">
      <c r="A3" s="309" t="s">
        <v>1</v>
      </c>
      <c r="B3" s="14" t="s">
        <v>8</v>
      </c>
      <c r="C3" s="7">
        <v>395</v>
      </c>
      <c r="D3" s="27"/>
      <c r="E3" s="10">
        <v>2.4569999999999999</v>
      </c>
      <c r="G3" s="306" t="s">
        <v>1</v>
      </c>
      <c r="H3" s="49" t="s">
        <v>8</v>
      </c>
      <c r="I3" s="37">
        <v>415</v>
      </c>
      <c r="J3" s="10">
        <v>2.7090000000000001</v>
      </c>
      <c r="K3" s="64"/>
      <c r="L3" s="64"/>
    </row>
    <row r="4" spans="1:12" x14ac:dyDescent="0.25">
      <c r="A4" s="310"/>
      <c r="B4" s="15" t="s">
        <v>6</v>
      </c>
      <c r="C4" s="2">
        <v>384</v>
      </c>
      <c r="D4" s="28"/>
      <c r="E4" s="11">
        <v>3.8679999999999999</v>
      </c>
      <c r="G4" s="307"/>
      <c r="H4" s="67" t="s">
        <v>6</v>
      </c>
      <c r="I4" s="33">
        <v>403</v>
      </c>
      <c r="J4" s="11">
        <v>4.2640000000000002</v>
      </c>
      <c r="K4" s="64"/>
      <c r="L4" s="64"/>
    </row>
    <row r="5" spans="1:12" ht="15.75" thickBot="1" x14ac:dyDescent="0.3">
      <c r="A5" s="314"/>
      <c r="B5" s="16" t="s">
        <v>7</v>
      </c>
      <c r="C5" s="8">
        <v>274</v>
      </c>
      <c r="D5" s="29"/>
      <c r="E5" s="12">
        <v>3.516</v>
      </c>
      <c r="G5" s="308"/>
      <c r="H5" s="68" t="s">
        <v>7</v>
      </c>
      <c r="I5" s="69">
        <v>288</v>
      </c>
      <c r="J5" s="12">
        <v>3.8759999999999999</v>
      </c>
      <c r="K5" s="64"/>
      <c r="L5" s="64"/>
    </row>
    <row r="6" spans="1:12" ht="15.75" thickBot="1" x14ac:dyDescent="0.3">
      <c r="A6" s="23" t="s">
        <v>23</v>
      </c>
      <c r="B6" s="24"/>
      <c r="C6" s="25"/>
      <c r="D6" s="30"/>
      <c r="E6" s="26"/>
      <c r="G6" s="23"/>
      <c r="H6" s="70"/>
      <c r="I6" s="71"/>
      <c r="J6" s="26"/>
      <c r="K6" s="64"/>
      <c r="L6" s="64"/>
    </row>
    <row r="7" spans="1:12" x14ac:dyDescent="0.25">
      <c r="A7" s="309" t="s">
        <v>4</v>
      </c>
      <c r="B7" s="17" t="s">
        <v>9</v>
      </c>
      <c r="C7" s="7">
        <v>405</v>
      </c>
      <c r="D7" s="27"/>
      <c r="E7" s="10">
        <v>4.6769999999999996</v>
      </c>
      <c r="G7" s="309" t="s">
        <v>4</v>
      </c>
      <c r="H7" s="72" t="s">
        <v>9</v>
      </c>
      <c r="I7" s="37">
        <v>376</v>
      </c>
      <c r="J7" s="10">
        <v>3.8980000000000001</v>
      </c>
      <c r="K7" s="64"/>
      <c r="L7" s="64"/>
    </row>
    <row r="8" spans="1:12" x14ac:dyDescent="0.25">
      <c r="A8" s="310"/>
      <c r="B8" s="18" t="s">
        <v>8</v>
      </c>
      <c r="C8" s="2">
        <v>552</v>
      </c>
      <c r="D8" s="28"/>
      <c r="E8" s="11">
        <v>4.7789999999999999</v>
      </c>
      <c r="G8" s="310"/>
      <c r="H8" s="73" t="s">
        <v>8</v>
      </c>
      <c r="I8" s="33">
        <v>565</v>
      </c>
      <c r="J8" s="11">
        <v>5.0739999999999998</v>
      </c>
      <c r="K8" s="64"/>
      <c r="L8" s="64"/>
    </row>
    <row r="9" spans="1:12" ht="15.75" thickBot="1" x14ac:dyDescent="0.3">
      <c r="A9" s="310"/>
      <c r="B9" s="19" t="s">
        <v>10</v>
      </c>
      <c r="C9" s="13">
        <v>691</v>
      </c>
      <c r="D9" s="31"/>
      <c r="E9" s="21">
        <v>5.6230000000000002</v>
      </c>
      <c r="G9" s="310"/>
      <c r="H9" s="74" t="s">
        <v>10</v>
      </c>
      <c r="I9" s="75">
        <v>684</v>
      </c>
      <c r="J9" s="21">
        <v>6.2969999999999997</v>
      </c>
      <c r="K9" s="64"/>
      <c r="L9" s="64"/>
    </row>
    <row r="10" spans="1:12" x14ac:dyDescent="0.25">
      <c r="A10" s="320" t="s">
        <v>5</v>
      </c>
      <c r="B10" s="17" t="s">
        <v>12</v>
      </c>
      <c r="C10" s="9">
        <v>848</v>
      </c>
      <c r="D10" s="32"/>
      <c r="E10" s="22">
        <v>25.2</v>
      </c>
      <c r="G10" s="320" t="s">
        <v>5</v>
      </c>
      <c r="H10" s="72" t="s">
        <v>12</v>
      </c>
      <c r="I10" s="76">
        <v>1306</v>
      </c>
      <c r="J10" s="10">
        <v>30.4</v>
      </c>
      <c r="K10" s="64"/>
      <c r="L10" s="64"/>
    </row>
    <row r="11" spans="1:12" x14ac:dyDescent="0.25">
      <c r="A11" s="321"/>
      <c r="B11" s="18" t="s">
        <v>14</v>
      </c>
      <c r="C11" s="2">
        <v>628</v>
      </c>
      <c r="D11" s="31"/>
      <c r="E11" s="21">
        <v>10.4</v>
      </c>
      <c r="G11" s="321"/>
      <c r="H11" s="73" t="s">
        <v>14</v>
      </c>
      <c r="I11" s="33">
        <v>689</v>
      </c>
      <c r="J11" s="11">
        <v>11.2</v>
      </c>
      <c r="K11" s="64"/>
      <c r="L11" s="64"/>
    </row>
    <row r="12" spans="1:12" x14ac:dyDescent="0.25">
      <c r="A12" s="321"/>
      <c r="B12" s="18" t="s">
        <v>15</v>
      </c>
      <c r="C12" s="2">
        <v>1851</v>
      </c>
      <c r="D12" s="31"/>
      <c r="E12" s="21">
        <v>20.100000000000001</v>
      </c>
      <c r="G12" s="321"/>
      <c r="H12" s="73" t="s">
        <v>15</v>
      </c>
      <c r="I12" s="33">
        <v>1951</v>
      </c>
      <c r="J12" s="11">
        <v>22.4</v>
      </c>
      <c r="K12" s="64"/>
      <c r="L12" s="64"/>
    </row>
    <row r="13" spans="1:12" x14ac:dyDescent="0.25">
      <c r="A13" s="321"/>
      <c r="B13" s="18" t="s">
        <v>16</v>
      </c>
      <c r="C13" s="2">
        <v>364</v>
      </c>
      <c r="D13" s="31"/>
      <c r="E13" s="21">
        <v>4.2</v>
      </c>
      <c r="G13" s="321"/>
      <c r="H13" s="73" t="s">
        <v>16</v>
      </c>
      <c r="I13" s="33">
        <v>395</v>
      </c>
      <c r="J13" s="11">
        <v>4.5</v>
      </c>
      <c r="K13" s="64"/>
      <c r="L13" s="64"/>
    </row>
    <row r="14" spans="1:12" x14ac:dyDescent="0.25">
      <c r="A14" s="321"/>
      <c r="B14" s="18" t="s">
        <v>17</v>
      </c>
      <c r="C14" s="2">
        <v>281</v>
      </c>
      <c r="D14" s="31"/>
      <c r="E14" s="21">
        <v>4.4000000000000004</v>
      </c>
      <c r="G14" s="321"/>
      <c r="H14" s="73" t="s">
        <v>17</v>
      </c>
      <c r="I14" s="33">
        <v>282</v>
      </c>
      <c r="J14" s="11">
        <v>4.3</v>
      </c>
      <c r="K14" s="64"/>
      <c r="L14" s="64"/>
    </row>
    <row r="15" spans="1:12" x14ac:dyDescent="0.25">
      <c r="A15" s="321"/>
      <c r="B15" s="18" t="s">
        <v>18</v>
      </c>
      <c r="C15" s="2">
        <v>614</v>
      </c>
      <c r="D15" s="31"/>
      <c r="E15" s="21">
        <v>15.3</v>
      </c>
      <c r="G15" s="321"/>
      <c r="H15" s="73" t="s">
        <v>18</v>
      </c>
      <c r="I15" s="33">
        <v>706</v>
      </c>
      <c r="J15" s="11">
        <v>16.600000000000001</v>
      </c>
      <c r="K15" s="64"/>
      <c r="L15" s="64"/>
    </row>
    <row r="16" spans="1:12" x14ac:dyDescent="0.25">
      <c r="A16" s="321"/>
      <c r="B16" s="18" t="s">
        <v>19</v>
      </c>
      <c r="C16" s="2">
        <v>403</v>
      </c>
      <c r="D16" s="31"/>
      <c r="E16" s="21">
        <v>24.1</v>
      </c>
      <c r="G16" s="321"/>
      <c r="H16" s="73" t="s">
        <v>19</v>
      </c>
      <c r="I16" s="33">
        <v>465</v>
      </c>
      <c r="J16" s="11">
        <v>25.5</v>
      </c>
      <c r="K16" s="64"/>
      <c r="L16" s="64"/>
    </row>
    <row r="17" spans="1:19" x14ac:dyDescent="0.25">
      <c r="A17" s="321"/>
      <c r="B17" s="18" t="s">
        <v>20</v>
      </c>
      <c r="C17" s="2">
        <v>770</v>
      </c>
      <c r="D17" s="31"/>
      <c r="E17" s="21">
        <v>12.7</v>
      </c>
      <c r="G17" s="321"/>
      <c r="H17" s="73" t="s">
        <v>20</v>
      </c>
      <c r="I17" s="33">
        <v>905</v>
      </c>
      <c r="J17" s="11">
        <v>14.4</v>
      </c>
      <c r="K17" s="64"/>
      <c r="L17" s="64"/>
    </row>
    <row r="18" spans="1:19" x14ac:dyDescent="0.25">
      <c r="A18" s="321"/>
      <c r="B18" s="18" t="s">
        <v>21</v>
      </c>
      <c r="C18" s="2">
        <v>202</v>
      </c>
      <c r="D18" s="31"/>
      <c r="E18" s="21">
        <v>7.3</v>
      </c>
      <c r="G18" s="321"/>
      <c r="H18" s="73" t="s">
        <v>21</v>
      </c>
      <c r="I18" s="33">
        <v>236</v>
      </c>
      <c r="J18" s="11">
        <v>7.9</v>
      </c>
      <c r="K18" s="64"/>
      <c r="L18" s="64"/>
    </row>
    <row r="19" spans="1:19" ht="15.75" thickBot="1" x14ac:dyDescent="0.3">
      <c r="A19" s="322"/>
      <c r="B19" s="20" t="s">
        <v>22</v>
      </c>
      <c r="C19" s="8">
        <v>277</v>
      </c>
      <c r="D19" s="29"/>
      <c r="E19" s="12">
        <v>9.8000000000000007</v>
      </c>
      <c r="G19" s="322"/>
      <c r="H19" s="77" t="s">
        <v>22</v>
      </c>
      <c r="I19" s="69">
        <v>298</v>
      </c>
      <c r="J19" s="12">
        <v>9.8000000000000007</v>
      </c>
      <c r="K19" s="64"/>
      <c r="L19" s="64"/>
    </row>
    <row r="20" spans="1:19" ht="15.75" thickBot="1" x14ac:dyDescent="0.3"/>
    <row r="21" spans="1:19" ht="15.75" thickBot="1" x14ac:dyDescent="0.3">
      <c r="B21" s="323" t="s">
        <v>25</v>
      </c>
      <c r="C21" s="324"/>
      <c r="D21" s="324"/>
      <c r="E21" s="325"/>
      <c r="F21" s="326" t="s">
        <v>28</v>
      </c>
      <c r="G21" s="327"/>
      <c r="H21" s="327"/>
      <c r="I21" s="328"/>
      <c r="J21" s="329" t="s">
        <v>13</v>
      </c>
      <c r="K21" s="330"/>
      <c r="L21" s="330"/>
      <c r="M21" s="330"/>
      <c r="N21" s="330"/>
      <c r="O21" s="331"/>
      <c r="P21" s="318" t="s">
        <v>35</v>
      </c>
      <c r="Q21" s="318"/>
      <c r="R21" s="318"/>
      <c r="S21" s="319"/>
    </row>
    <row r="22" spans="1:19" s="87" customFormat="1" ht="66" customHeight="1" thickBot="1" x14ac:dyDescent="0.3">
      <c r="A22" s="40" t="s">
        <v>0</v>
      </c>
      <c r="B22" s="85" t="s">
        <v>31</v>
      </c>
      <c r="C22" s="82" t="s">
        <v>29</v>
      </c>
      <c r="D22" s="82" t="s">
        <v>26</v>
      </c>
      <c r="E22" s="86" t="s">
        <v>27</v>
      </c>
      <c r="F22" s="85" t="s">
        <v>31</v>
      </c>
      <c r="G22" s="82" t="s">
        <v>29</v>
      </c>
      <c r="H22" s="84" t="s">
        <v>26</v>
      </c>
      <c r="I22" s="99" t="s">
        <v>27</v>
      </c>
      <c r="J22" s="85" t="s">
        <v>32</v>
      </c>
      <c r="K22" s="83" t="s">
        <v>30</v>
      </c>
      <c r="L22" s="83" t="s">
        <v>37</v>
      </c>
      <c r="M22" s="82" t="s">
        <v>33</v>
      </c>
      <c r="N22" s="82" t="s">
        <v>36</v>
      </c>
      <c r="O22" s="86" t="s">
        <v>38</v>
      </c>
      <c r="P22" s="81" t="s">
        <v>34</v>
      </c>
      <c r="Q22" s="82" t="s">
        <v>29</v>
      </c>
      <c r="R22" s="82" t="s">
        <v>26</v>
      </c>
      <c r="S22" s="86" t="s">
        <v>27</v>
      </c>
    </row>
    <row r="23" spans="1:19" ht="34.5" customHeight="1" x14ac:dyDescent="0.25">
      <c r="A23" s="91" t="s">
        <v>43</v>
      </c>
      <c r="B23" s="43">
        <v>1200</v>
      </c>
      <c r="C23" s="37">
        <v>7.32</v>
      </c>
      <c r="D23" s="38">
        <v>9575</v>
      </c>
      <c r="E23" s="44">
        <v>22.89</v>
      </c>
      <c r="F23" s="45">
        <v>1099</v>
      </c>
      <c r="G23" s="37">
        <v>6.11</v>
      </c>
      <c r="H23" s="38">
        <v>9725</v>
      </c>
      <c r="I23" s="44">
        <v>15.52</v>
      </c>
      <c r="J23" s="43">
        <v>1053</v>
      </c>
      <c r="K23" s="37">
        <v>1109</v>
      </c>
      <c r="L23" s="50">
        <f>J23-K23</f>
        <v>-56</v>
      </c>
      <c r="M23" s="38">
        <v>29129</v>
      </c>
      <c r="N23" s="38">
        <v>10486</v>
      </c>
      <c r="O23" s="52">
        <f>M23-N23</f>
        <v>18643</v>
      </c>
      <c r="P23" s="43">
        <v>1106</v>
      </c>
      <c r="Q23" s="53">
        <v>5</v>
      </c>
      <c r="R23" s="38">
        <v>30586</v>
      </c>
      <c r="S23" s="44">
        <v>5</v>
      </c>
    </row>
    <row r="24" spans="1:19" x14ac:dyDescent="0.25">
      <c r="A24" s="41" t="s">
        <v>39</v>
      </c>
      <c r="B24" s="95">
        <v>319</v>
      </c>
      <c r="C24" s="2">
        <v>-8.6999999999999993</v>
      </c>
      <c r="D24" s="59">
        <v>13785</v>
      </c>
      <c r="E24" s="47">
        <v>24.45</v>
      </c>
      <c r="F24" s="98">
        <v>312</v>
      </c>
      <c r="G24" s="33">
        <v>1.88</v>
      </c>
      <c r="H24" s="59">
        <v>14971</v>
      </c>
      <c r="I24" s="100">
        <v>26.85</v>
      </c>
      <c r="J24" s="95">
        <v>274</v>
      </c>
      <c r="K24" s="33">
        <v>306</v>
      </c>
      <c r="L24" s="56">
        <f>J24-K24</f>
        <v>-32</v>
      </c>
      <c r="M24" s="59">
        <v>12834</v>
      </c>
      <c r="N24" s="59">
        <v>13616</v>
      </c>
      <c r="O24" s="110">
        <f>M24-N24</f>
        <v>-782</v>
      </c>
      <c r="P24" s="95">
        <v>288</v>
      </c>
      <c r="Q24" s="61">
        <v>5</v>
      </c>
      <c r="R24" s="59">
        <v>13457</v>
      </c>
      <c r="S24" s="78">
        <v>5</v>
      </c>
    </row>
    <row r="25" spans="1:19" x14ac:dyDescent="0.25">
      <c r="A25" s="92" t="s">
        <v>40</v>
      </c>
      <c r="B25" s="96">
        <v>535</v>
      </c>
      <c r="C25" s="13">
        <v>30.26</v>
      </c>
      <c r="D25" s="88">
        <v>7230</v>
      </c>
      <c r="E25" s="90">
        <v>58.89</v>
      </c>
      <c r="F25" s="101">
        <v>577</v>
      </c>
      <c r="G25" s="75">
        <v>16.46</v>
      </c>
      <c r="H25" s="88">
        <v>7415</v>
      </c>
      <c r="I25" s="102">
        <v>19.899999999999999</v>
      </c>
      <c r="J25" s="96">
        <v>384</v>
      </c>
      <c r="K25" s="75">
        <v>521</v>
      </c>
      <c r="L25" s="89">
        <f>J25-K25</f>
        <v>-137</v>
      </c>
      <c r="M25" s="88">
        <v>8213</v>
      </c>
      <c r="N25" s="88">
        <v>10432</v>
      </c>
      <c r="O25" s="111">
        <f>M25-N25</f>
        <v>-2219</v>
      </c>
      <c r="P25" s="96">
        <v>403</v>
      </c>
      <c r="Q25" s="13">
        <v>5</v>
      </c>
      <c r="R25" s="88">
        <v>10578</v>
      </c>
      <c r="S25" s="90">
        <v>5</v>
      </c>
    </row>
    <row r="26" spans="1:19" s="51" customFormat="1" ht="15.75" thickBot="1" x14ac:dyDescent="0.3">
      <c r="A26" s="42" t="s">
        <v>41</v>
      </c>
      <c r="B26" s="97">
        <v>661</v>
      </c>
      <c r="C26" s="8">
        <v>4.17</v>
      </c>
      <c r="D26" s="79">
        <v>4878</v>
      </c>
      <c r="E26" s="48">
        <v>-5.3</v>
      </c>
      <c r="F26" s="103">
        <v>562</v>
      </c>
      <c r="G26" s="69">
        <v>2.06</v>
      </c>
      <c r="H26" s="79">
        <v>4383</v>
      </c>
      <c r="I26" s="104">
        <v>-4.93</v>
      </c>
      <c r="J26" s="97">
        <v>395</v>
      </c>
      <c r="K26" s="69">
        <v>574</v>
      </c>
      <c r="L26" s="80">
        <f>J26-K26</f>
        <v>-179</v>
      </c>
      <c r="M26" s="79">
        <v>6221</v>
      </c>
      <c r="N26" s="79">
        <v>5545</v>
      </c>
      <c r="O26" s="112">
        <f>M26-N26</f>
        <v>676</v>
      </c>
      <c r="P26" s="97">
        <v>415</v>
      </c>
      <c r="Q26" s="8">
        <v>5</v>
      </c>
      <c r="R26" s="79">
        <v>6532</v>
      </c>
      <c r="S26" s="48">
        <v>5</v>
      </c>
    </row>
    <row r="27" spans="1:19" s="65" customFormat="1" ht="23.1" customHeight="1" x14ac:dyDescent="0.25">
      <c r="A27" s="91" t="s">
        <v>44</v>
      </c>
      <c r="B27" s="43">
        <v>1597</v>
      </c>
      <c r="C27" s="37">
        <v>10.26</v>
      </c>
      <c r="D27" s="38">
        <v>6336</v>
      </c>
      <c r="E27" s="44">
        <v>3.66</v>
      </c>
      <c r="F27" s="43">
        <v>1578</v>
      </c>
      <c r="G27" s="37">
        <v>7.99</v>
      </c>
      <c r="H27" s="38">
        <v>6123</v>
      </c>
      <c r="I27" s="44">
        <v>17.11</v>
      </c>
      <c r="J27" s="117"/>
      <c r="K27" s="118">
        <v>1879</v>
      </c>
      <c r="L27" s="119"/>
      <c r="M27" s="120"/>
      <c r="N27" s="38">
        <v>6301</v>
      </c>
      <c r="O27" s="58">
        <f>M27-N27</f>
        <v>-6301</v>
      </c>
      <c r="P27" s="49">
        <v>2217</v>
      </c>
      <c r="Q27" s="37">
        <v>5</v>
      </c>
      <c r="R27" s="57">
        <v>10599</v>
      </c>
      <c r="S27" s="44">
        <v>5</v>
      </c>
    </row>
    <row r="28" spans="1:19" x14ac:dyDescent="0.25">
      <c r="A28" s="41" t="s">
        <v>8</v>
      </c>
      <c r="B28" s="98">
        <v>523</v>
      </c>
      <c r="C28" s="139">
        <v>36.96</v>
      </c>
      <c r="D28" s="59">
        <v>3878</v>
      </c>
      <c r="E28" s="140">
        <v>54.11</v>
      </c>
      <c r="F28" s="98">
        <v>515</v>
      </c>
      <c r="G28" s="33">
        <v>39.65</v>
      </c>
      <c r="H28" s="59">
        <v>3426</v>
      </c>
      <c r="I28" s="100">
        <v>61.58</v>
      </c>
      <c r="J28" s="113"/>
      <c r="K28" s="33">
        <v>454</v>
      </c>
      <c r="L28" s="105"/>
      <c r="M28" s="106"/>
      <c r="N28" s="60">
        <v>3543</v>
      </c>
      <c r="O28" s="111">
        <f t="shared" ref="O28:O36" si="0">M28-N28</f>
        <v>-3543</v>
      </c>
      <c r="P28" s="15">
        <v>674</v>
      </c>
      <c r="Q28" s="15">
        <v>26</v>
      </c>
      <c r="R28" s="59">
        <v>5800</v>
      </c>
      <c r="S28" s="47">
        <v>36</v>
      </c>
    </row>
    <row r="29" spans="1:19" x14ac:dyDescent="0.25">
      <c r="A29" s="41" t="s">
        <v>40</v>
      </c>
      <c r="B29" s="95">
        <v>1424</v>
      </c>
      <c r="C29" s="141">
        <v>1.79</v>
      </c>
      <c r="D29" s="59">
        <v>4523</v>
      </c>
      <c r="E29" s="140">
        <v>3.58</v>
      </c>
      <c r="F29" s="98">
        <v>1421</v>
      </c>
      <c r="G29" s="33">
        <v>11.08</v>
      </c>
      <c r="H29" s="59">
        <v>4651</v>
      </c>
      <c r="I29" s="100">
        <v>10.92</v>
      </c>
      <c r="J29" s="113"/>
      <c r="K29" s="33">
        <v>1091</v>
      </c>
      <c r="L29" s="107"/>
      <c r="M29" s="108"/>
      <c r="N29" s="60">
        <v>4681</v>
      </c>
      <c r="O29" s="111">
        <f t="shared" si="0"/>
        <v>-4681</v>
      </c>
      <c r="P29" s="15">
        <v>1714</v>
      </c>
      <c r="Q29" s="15">
        <v>17</v>
      </c>
      <c r="R29" s="59">
        <v>7600</v>
      </c>
      <c r="S29" s="47">
        <v>22</v>
      </c>
    </row>
    <row r="30" spans="1:19" ht="15.75" thickBot="1" x14ac:dyDescent="0.3">
      <c r="A30" s="42" t="s">
        <v>42</v>
      </c>
      <c r="B30" s="97">
        <v>460</v>
      </c>
      <c r="C30" s="142">
        <v>6.08</v>
      </c>
      <c r="D30" s="79">
        <v>7571</v>
      </c>
      <c r="E30" s="143">
        <v>-8.91</v>
      </c>
      <c r="F30" s="103">
        <v>358</v>
      </c>
      <c r="G30" s="69">
        <v>16.05</v>
      </c>
      <c r="H30" s="79">
        <v>7003</v>
      </c>
      <c r="I30" s="104">
        <v>10.32</v>
      </c>
      <c r="J30" s="122"/>
      <c r="K30" s="69">
        <v>334</v>
      </c>
      <c r="L30" s="123"/>
      <c r="M30" s="124"/>
      <c r="N30" s="121">
        <v>7211</v>
      </c>
      <c r="O30" s="112">
        <f t="shared" si="0"/>
        <v>-7211</v>
      </c>
      <c r="P30" s="16">
        <v>473</v>
      </c>
      <c r="Q30" s="16">
        <v>8</v>
      </c>
      <c r="R30" s="79">
        <v>10100</v>
      </c>
      <c r="S30" s="48">
        <v>8</v>
      </c>
    </row>
    <row r="31" spans="1:19" ht="24" customHeight="1" x14ac:dyDescent="0.25">
      <c r="A31" s="93" t="s">
        <v>45</v>
      </c>
      <c r="B31" s="54">
        <v>1448</v>
      </c>
      <c r="C31" s="125">
        <v>7.05</v>
      </c>
      <c r="D31" s="126">
        <v>12286</v>
      </c>
      <c r="E31" s="44">
        <v>22.04</v>
      </c>
      <c r="F31" s="54">
        <v>1405</v>
      </c>
      <c r="G31" s="125">
        <v>5.89</v>
      </c>
      <c r="H31" s="38">
        <v>11673</v>
      </c>
      <c r="I31" s="44">
        <v>19.809999999999999</v>
      </c>
      <c r="J31" s="43">
        <v>1648</v>
      </c>
      <c r="K31" s="37">
        <v>1398</v>
      </c>
      <c r="L31" s="55">
        <f>J31-K31</f>
        <v>250</v>
      </c>
      <c r="M31" s="57">
        <v>28344.95</v>
      </c>
      <c r="N31" s="39">
        <v>11502</v>
      </c>
      <c r="O31" s="58">
        <f t="shared" si="0"/>
        <v>16842.95</v>
      </c>
      <c r="P31" s="14">
        <v>1625</v>
      </c>
      <c r="Q31" s="127"/>
      <c r="R31" s="38">
        <v>28556.09</v>
      </c>
      <c r="S31" s="128"/>
    </row>
    <row r="32" spans="1:19" ht="15.6" customHeight="1" x14ac:dyDescent="0.25">
      <c r="A32" s="94" t="s">
        <v>40</v>
      </c>
      <c r="B32" s="95">
        <v>999</v>
      </c>
      <c r="C32" s="28">
        <v>9.4600000000000009</v>
      </c>
      <c r="D32" s="129">
        <v>7672</v>
      </c>
      <c r="E32" s="47">
        <v>-2.92</v>
      </c>
      <c r="F32" s="98">
        <v>989</v>
      </c>
      <c r="G32" s="33">
        <v>9.02</v>
      </c>
      <c r="H32" s="59">
        <v>8020</v>
      </c>
      <c r="I32" s="147">
        <v>-2.66</v>
      </c>
      <c r="J32" s="95">
        <v>691</v>
      </c>
      <c r="K32" s="33">
        <v>827</v>
      </c>
      <c r="L32" s="89">
        <f t="shared" ref="L32:L36" si="1">J32-K32</f>
        <v>-136</v>
      </c>
      <c r="M32" s="88">
        <v>8138</v>
      </c>
      <c r="N32" s="60">
        <v>7687</v>
      </c>
      <c r="O32" s="111">
        <f t="shared" si="0"/>
        <v>451</v>
      </c>
      <c r="P32" s="15">
        <v>684</v>
      </c>
      <c r="Q32" s="109"/>
      <c r="R32" s="59">
        <v>9207</v>
      </c>
      <c r="S32" s="114"/>
    </row>
    <row r="33" spans="1:20" ht="12.6" customHeight="1" x14ac:dyDescent="0.25">
      <c r="A33" s="94" t="s">
        <v>41</v>
      </c>
      <c r="B33" s="95">
        <v>720</v>
      </c>
      <c r="C33" s="28">
        <v>13.48</v>
      </c>
      <c r="D33" s="129">
        <v>8847</v>
      </c>
      <c r="E33" s="47">
        <v>53.5</v>
      </c>
      <c r="F33" s="98">
        <v>656</v>
      </c>
      <c r="G33" s="33">
        <v>8.0500000000000007</v>
      </c>
      <c r="H33" s="59">
        <v>8052</v>
      </c>
      <c r="I33" s="147">
        <v>24.96</v>
      </c>
      <c r="J33" s="95">
        <v>552</v>
      </c>
      <c r="K33" s="33">
        <v>687</v>
      </c>
      <c r="L33" s="89">
        <f t="shared" si="1"/>
        <v>-135</v>
      </c>
      <c r="M33" s="88">
        <v>8658</v>
      </c>
      <c r="N33" s="60">
        <v>7817</v>
      </c>
      <c r="O33" s="111">
        <f t="shared" si="0"/>
        <v>841</v>
      </c>
      <c r="P33" s="15">
        <v>565</v>
      </c>
      <c r="Q33" s="109"/>
      <c r="R33" s="59">
        <v>8981</v>
      </c>
      <c r="S33" s="114"/>
    </row>
    <row r="34" spans="1:20" ht="15.6" customHeight="1" thickBot="1" x14ac:dyDescent="0.3">
      <c r="A34" s="115" t="s">
        <v>9</v>
      </c>
      <c r="B34" s="96">
        <v>518</v>
      </c>
      <c r="C34" s="31">
        <v>1.44</v>
      </c>
      <c r="D34" s="132">
        <v>9814</v>
      </c>
      <c r="E34" s="90">
        <v>10.14</v>
      </c>
      <c r="F34" s="101">
        <v>463</v>
      </c>
      <c r="G34" s="75">
        <v>-0.34</v>
      </c>
      <c r="H34" s="88">
        <v>9395</v>
      </c>
      <c r="I34" s="148">
        <v>30.11</v>
      </c>
      <c r="J34" s="97">
        <v>405</v>
      </c>
      <c r="K34" s="69">
        <v>458</v>
      </c>
      <c r="L34" s="80">
        <f t="shared" si="1"/>
        <v>-53</v>
      </c>
      <c r="M34" s="79">
        <v>11548</v>
      </c>
      <c r="N34" s="121">
        <v>9504</v>
      </c>
      <c r="O34" s="112">
        <f t="shared" si="0"/>
        <v>2044</v>
      </c>
      <c r="P34" s="16">
        <v>376</v>
      </c>
      <c r="Q34" s="130"/>
      <c r="R34" s="79">
        <v>10368.09</v>
      </c>
      <c r="S34" s="131"/>
    </row>
    <row r="35" spans="1:20" s="3" customFormat="1" ht="21.6" customHeight="1" thickBot="1" x14ac:dyDescent="0.3">
      <c r="A35" s="144" t="s">
        <v>5</v>
      </c>
      <c r="B35" s="36">
        <v>4906</v>
      </c>
      <c r="C35" s="137">
        <v>10.7</v>
      </c>
      <c r="D35" s="145">
        <v>10680</v>
      </c>
      <c r="E35" s="138">
        <v>12.47</v>
      </c>
      <c r="F35" s="36">
        <v>4599</v>
      </c>
      <c r="G35" s="137">
        <v>2.66</v>
      </c>
      <c r="H35" s="150">
        <v>9984</v>
      </c>
      <c r="I35" s="138">
        <v>10.68</v>
      </c>
      <c r="J35" s="36">
        <v>5903</v>
      </c>
      <c r="K35" s="137">
        <v>3771</v>
      </c>
      <c r="L35" s="80">
        <f t="shared" si="1"/>
        <v>2132</v>
      </c>
      <c r="M35" s="151">
        <v>11214</v>
      </c>
      <c r="N35" s="151">
        <v>7407</v>
      </c>
      <c r="O35" s="146">
        <f t="shared" si="0"/>
        <v>3807</v>
      </c>
      <c r="P35" s="136">
        <v>6882</v>
      </c>
      <c r="Q35" s="35">
        <v>16.579999999999998</v>
      </c>
      <c r="R35" s="152">
        <v>11203</v>
      </c>
      <c r="S35" s="46">
        <v>16.46</v>
      </c>
      <c r="T35" s="5"/>
    </row>
    <row r="36" spans="1:20" ht="20.45" customHeight="1" thickBot="1" x14ac:dyDescent="0.3">
      <c r="A36" s="116" t="s">
        <v>46</v>
      </c>
      <c r="B36" s="136">
        <v>1914</v>
      </c>
      <c r="C36" s="35">
        <v>11.34</v>
      </c>
      <c r="D36" s="153">
        <v>23569</v>
      </c>
      <c r="E36" s="135">
        <v>-0.41</v>
      </c>
      <c r="F36" s="133">
        <v>1880</v>
      </c>
      <c r="G36" s="134">
        <v>7.56</v>
      </c>
      <c r="H36" s="154">
        <v>21104</v>
      </c>
      <c r="I36" s="149">
        <v>16.82</v>
      </c>
      <c r="J36" s="36">
        <v>1836</v>
      </c>
      <c r="K36" s="137">
        <v>1735</v>
      </c>
      <c r="L36" s="80">
        <f t="shared" si="1"/>
        <v>101</v>
      </c>
      <c r="M36" s="151">
        <v>18492</v>
      </c>
      <c r="N36" s="151">
        <v>25518</v>
      </c>
      <c r="O36" s="146">
        <f t="shared" si="0"/>
        <v>-7026</v>
      </c>
      <c r="P36" s="136">
        <v>1958</v>
      </c>
      <c r="Q36" s="35">
        <v>6.6</v>
      </c>
      <c r="R36" s="152">
        <v>21269</v>
      </c>
      <c r="S36" s="46">
        <v>15</v>
      </c>
    </row>
  </sheetData>
  <mergeCells count="12">
    <mergeCell ref="P21:S21"/>
    <mergeCell ref="A10:A19"/>
    <mergeCell ref="G10:G19"/>
    <mergeCell ref="B21:E21"/>
    <mergeCell ref="F21:I21"/>
    <mergeCell ref="J21:O21"/>
    <mergeCell ref="G3:G5"/>
    <mergeCell ref="G7:G9"/>
    <mergeCell ref="G1:J1"/>
    <mergeCell ref="A3:A5"/>
    <mergeCell ref="A7:A9"/>
    <mergeCell ref="A1:E1"/>
  </mergeCells>
  <pageMargins left="0.7" right="0.7" top="0.75" bottom="0.75" header="0.3" footer="0.3"/>
  <pageSetup paperSize="9" orientation="portrait" r:id="rId1"/>
  <headerFooter>
    <oddFooter>&amp;L&amp;1#&amp;"Calibri"&amp;6&amp;K7F7F7FInternal Use - Confidential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C36"/>
  <sheetViews>
    <sheetView zoomScaleNormal="100" workbookViewId="0">
      <selection activeCell="M6" sqref="M6"/>
    </sheetView>
  </sheetViews>
  <sheetFormatPr baseColWidth="10" defaultColWidth="9.140625" defaultRowHeight="15" x14ac:dyDescent="0.25"/>
  <cols>
    <col min="1" max="1" width="16.42578125" customWidth="1"/>
    <col min="2" max="2" width="23.7109375" customWidth="1"/>
    <col min="3" max="19" width="10.7109375" style="65" customWidth="1"/>
    <col min="20" max="20" width="12.140625" style="65" bestFit="1" customWidth="1"/>
    <col min="21" max="23" width="10.7109375" style="65" customWidth="1"/>
    <col min="24" max="24" width="10.7109375" customWidth="1"/>
    <col min="27" max="27" width="16.7109375" bestFit="1" customWidth="1"/>
    <col min="29" max="29" width="11" bestFit="1" customWidth="1"/>
  </cols>
  <sheetData>
    <row r="4" spans="1:29" ht="15.75" thickBot="1" x14ac:dyDescent="0.3"/>
    <row r="5" spans="1:29" s="159" customFormat="1" ht="51.75" thickBot="1" x14ac:dyDescent="0.25">
      <c r="A5" s="158" t="s">
        <v>0</v>
      </c>
      <c r="B5" s="158" t="s">
        <v>54</v>
      </c>
      <c r="C5" s="189" t="s">
        <v>31</v>
      </c>
      <c r="D5" s="190" t="s">
        <v>29</v>
      </c>
      <c r="E5" s="190" t="s">
        <v>26</v>
      </c>
      <c r="F5" s="191" t="s">
        <v>27</v>
      </c>
      <c r="G5" s="189" t="s">
        <v>31</v>
      </c>
      <c r="H5" s="190" t="s">
        <v>29</v>
      </c>
      <c r="I5" s="190" t="s">
        <v>26</v>
      </c>
      <c r="J5" s="191" t="s">
        <v>27</v>
      </c>
      <c r="K5" s="192" t="s">
        <v>218</v>
      </c>
      <c r="L5" s="193" t="s">
        <v>217</v>
      </c>
      <c r="M5" s="193" t="s">
        <v>219</v>
      </c>
      <c r="N5" s="193" t="s">
        <v>220</v>
      </c>
      <c r="O5" s="190" t="s">
        <v>29</v>
      </c>
      <c r="P5" s="194" t="s">
        <v>33</v>
      </c>
      <c r="Q5" s="191" t="s">
        <v>191</v>
      </c>
      <c r="R5" s="193"/>
      <c r="S5" s="193"/>
      <c r="T5" s="191" t="s">
        <v>27</v>
      </c>
      <c r="U5" s="195" t="s">
        <v>34</v>
      </c>
      <c r="V5" s="196" t="s">
        <v>29</v>
      </c>
      <c r="W5" s="197" t="s">
        <v>26</v>
      </c>
      <c r="X5" s="198" t="s">
        <v>27</v>
      </c>
    </row>
    <row r="6" spans="1:29" s="65" customFormat="1" ht="30" customHeight="1" thickBot="1" x14ac:dyDescent="0.3">
      <c r="A6" s="91" t="s">
        <v>117</v>
      </c>
      <c r="B6" s="338" t="s">
        <v>49</v>
      </c>
      <c r="C6" s="163">
        <f>SUMIFS('Raw Commercial Country SnS+B2B'!$H:$H,'Raw Commercial Country SnS+B2B'!$B:$B,"FY20-Q1",'Raw Commercial Country SnS+B2B'!$C:$C,"Germany")</f>
        <v>1000</v>
      </c>
      <c r="D6" s="208">
        <f>IFERROR(((SUMIFS('Raw Commercial Country SnS+B2B'!$H:$H,'Raw Commercial Country SnS+B2B'!$B:$B,"FY20-Q1",'Raw Commercial Country SnS+B2B'!$C:$C,"Germany")-SUMIFS('Raw Commercial Country SnS+B2B'!$H:$H,'Raw Commercial Country SnS+B2B'!$B:$B,"FY19-Q1",'Raw Commercial Country SnS+B2B'!$C:$C,"Germany")))/(SUMIFS('Raw Commercial Country SnS+B2B'!$H:$H,'Raw Commercial Country SnS+B2B'!$B:$B,"FY19-Q1",'Raw Commercial Country SnS+B2B'!$C:$C,"Germany")),"")</f>
        <v>0.122334455667789</v>
      </c>
      <c r="E6" s="245">
        <f>SUMIFS('Raw Commercial Country SnS+B2B'!$G:$G,'Raw Commercial Country SnS+B2B'!$B:$B,"FY20-Q1",'Raw Commercial Country SnS+B2B'!$C:$C,"Germany")</f>
        <v>12713</v>
      </c>
      <c r="F6" s="208">
        <f>IFERROR(((SUMIFS('Raw Commercial Country SnS+B2B'!$G:$G,'Raw Commercial Country SnS+B2B'!$B:$B,"FY20-Q1",'Raw Commercial Country SnS+B2B'!$C:$C,"Germany")-SUMIFS('Raw Commercial Country SnS+B2B'!$G:$G,'Raw Commercial Country SnS+B2B'!$B:$B,"FY19-Q1",'Raw Commercial Country SnS+B2B'!$C:$C,"Germany")))/(SUMIFS('Raw Commercial Country SnS+B2B'!$G:$G,'Raw Commercial Country SnS+B2B'!$B:$B,"FY19-Q1",'Raw Commercial Country SnS+B2B'!$C:$C,"Germany")),"")</f>
        <v>0.10012114918656975</v>
      </c>
      <c r="G6" s="163">
        <f>SUMIFS('Raw Commercial Country SnS+B2B'!$H:$H,'Raw Commercial Country SnS+B2B'!$B:$B,"FY20-Q2",'Raw Commercial Country SnS+B2B'!$C:$C,"Germany")</f>
        <v>936</v>
      </c>
      <c r="H6" s="200">
        <f>IFERROR(((SUMIFS('Raw Commercial Country SnS+B2B'!$H:$H,'Raw Commercial Country SnS+B2B'!$B:$B,"FY20-Q2",'Raw Commercial Country SnS+B2B'!$C:$C,"Germany")-SUMIFS('Raw Commercial Country SnS+B2B'!$H:$H,'Raw Commercial Country SnS+B2B'!$B:$B,"FY19-Q2",'Raw Commercial Country SnS+B2B'!$C:$C,"Germany")))/(SUMIFS('Raw Commercial Country SnS+B2B'!$H:$H,'Raw Commercial Country SnS+B2B'!$B:$B,"FY19-Q2",'Raw Commercial Country SnS+B2B'!$C:$C,"Germany")),"")</f>
        <v>-3.5051546391752578E-2</v>
      </c>
      <c r="I6" s="245">
        <f>SUMIFS('Raw Commercial Country SnS+B2B'!$G:$G,'Raw Commercial Country SnS+B2B'!$B:$B,"FY20-Q2",'Raw Commercial Country SnS+B2B'!$C:$C,"Germany")</f>
        <v>14505</v>
      </c>
      <c r="J6" s="208">
        <f>IFERROR(((SUMIFS('Raw Commercial Country SnS+B2B'!$G:$G,'Raw Commercial Country SnS+B2B'!$B:$B,"FY20-Q2",'Raw Commercial Country SnS+B2B'!$C:$C,"Germany")-SUMIFS('Raw Commercial Country SnS+B2B'!$G:$G,'Raw Commercial Country SnS+B2B'!$B:$B,"FY19-Q2",'Raw Commercial Country SnS+B2B'!$C:$C,"Germany")))/(SUMIFS('Raw Commercial Country SnS+B2B'!$G:$G,'Raw Commercial Country SnS+B2B'!$B:$B,"FY19-Q2",'Raw Commercial Country SnS+B2B'!$C:$C,"Germany")),"")</f>
        <v>0.13746863237139273</v>
      </c>
      <c r="K6" s="172">
        <v>1053</v>
      </c>
      <c r="L6" s="50">
        <f>SUMIFS('Raw Commercial Country SnS+B2B'!$H:$H,'Raw Commercial Country SnS+B2B'!$B:$B,"FY20-Q3",'Raw Commercial Country SnS+B2B'!$C:$C,"Germany")</f>
        <v>1039</v>
      </c>
      <c r="M6" s="263">
        <f t="shared" ref="M6:M36" si="0">IFERROR(L6/K6,"")</f>
        <v>0.98670465337132007</v>
      </c>
      <c r="N6" s="268" t="str">
        <f>IF(Overview!M6&gt;=99%,"Target Achieved","Target Missed")</f>
        <v>Target Missed</v>
      </c>
      <c r="O6" s="208">
        <f t="shared" ref="O6:O36" si="1">IFERROR((L6-K6)/K6,"")</f>
        <v>-1.3295346628679962E-2</v>
      </c>
      <c r="P6" s="254">
        <f t="shared" ref="P6:P36" si="2">I6*(1.05)</f>
        <v>15230.25</v>
      </c>
      <c r="Q6" s="245">
        <f>SUMIFS('Raw Commercial Country SnS+B2B'!$G:$G,'Raw Commercial Country SnS+B2B'!$B:$B,"FY20-Q3",'Raw Commercial Country SnS+B2B'!$C:$C,"Germany")</f>
        <v>16427</v>
      </c>
      <c r="R6" s="263">
        <f t="shared" ref="R6:R36" si="3">IFERROR(Q6/P6,"")</f>
        <v>1.0785771737167809</v>
      </c>
      <c r="S6" s="268" t="str">
        <f>IF(Overview!R6&gt;=99%,"Target Achieved","Target Missed")</f>
        <v>Target Achieved</v>
      </c>
      <c r="T6" s="208">
        <f t="shared" ref="T6:T36" si="4">IFERROR((Q6-P6)/P6,"")</f>
        <v>7.8577173716780746E-2</v>
      </c>
      <c r="U6" s="172">
        <v>1106</v>
      </c>
      <c r="V6" s="200">
        <f>IFERROR(((U6-SUMIFS('Raw Commercial Country SnS+B2B'!$H:$H,'Raw Commercial Country SnS+B2B'!$B:$B,"FY19-Q4",'Raw Commercial Country SnS+B2B'!$C:$C,"Germany")))/(SUMIFS('Raw Commercial Country SnS+B2B'!$H:$H,'Raw Commercial Country SnS+B2B'!$B:$B,"FY19-Q4",'Raw Commercial Country SnS+B2B'!$C:$C,"Germany")),"")</f>
        <v>6.2439961575408258E-2</v>
      </c>
      <c r="W6" s="181">
        <f>Q6*(1.05)</f>
        <v>17248.350000000002</v>
      </c>
      <c r="X6" s="201">
        <f>IFERROR(((W6-SUMIFS('Raw Commercial Country SnS+B2B'!$G:$G,'Raw Commercial Country SnS+B2B'!$B:$B,"FY19-Q4",'Raw Commercial Country SnS+B2B'!$C:$C,"Germany")))/(SUMIFS('Raw Commercial Country SnS+B2B'!$G:$G,'Raw Commercial Country SnS+B2B'!$B:$B,"FY19-Q4",'Raw Commercial Country SnS+B2B'!$C:$C,"Germany")),"")</f>
        <v>0.33739241684112603</v>
      </c>
    </row>
    <row r="7" spans="1:29" s="65" customFormat="1" ht="21.75" hidden="1" customHeight="1" thickBot="1" x14ac:dyDescent="0.3">
      <c r="A7" s="155" t="s">
        <v>39</v>
      </c>
      <c r="B7" s="339"/>
      <c r="C7" s="202">
        <f>SUMIFS('Raw Commercial Country SnS+B2B'!$H:$H,'Raw Commercial Country SnS+B2B'!$B:$B,"FY20-Q1",'Raw Commercial Country SnS+B2B'!$C:$C,"Germany")</f>
        <v>1000</v>
      </c>
      <c r="D7" s="204">
        <f>IFERROR(((SUMIFS('Raw Commercial Country SnS+B2B'!$H:$H,'Raw Commercial Country SnS+B2B'!$B:$B,"FY20-Q1",'Raw Commercial Country SnS+B2B'!$C:$C,"Germany")-SUMIFS('Raw Commercial Country SnS+B2B'!$H:$H,'Raw Commercial Country SnS+B2B'!$B:$B,"FY19-Q1",'Raw Commercial Country SnS+B2B'!$C:$C,"Germany")))/(SUMIFS('Raw Commercial Country SnS+B2B'!$H:$H,'Raw Commercial Country SnS+B2B'!$B:$B,"FY19-Q1",'Raw Commercial Country SnS+B2B'!$C:$C,"Germany")),"")</f>
        <v>0.122334455667789</v>
      </c>
      <c r="E7" s="246">
        <f>SUMIFS('Raw Commercial Country SnS+B2B'!$G:$G,'Raw Commercial Country SnS+B2B'!$B:$B,"FY20-Q1",'Raw Commercial Country SnS+B2B'!$C:$C,"Germany")</f>
        <v>12713</v>
      </c>
      <c r="F7" s="204">
        <f>IFERROR(((SUMIFS('Raw Commercial Country SnS+B2B'!$G:$G,'Raw Commercial Country SnS+B2B'!$B:$B,"FY20-Q1",'Raw Commercial Country SnS+B2B'!$C:$C,"Germany")-SUMIFS('Raw Commercial Country SnS+B2B'!$G:$G,'Raw Commercial Country SnS+B2B'!$B:$B,"FY19-Q1",'Raw Commercial Country SnS+B2B'!$C:$C,"Germany")))/(SUMIFS('Raw Commercial Country SnS+B2B'!$G:$G,'Raw Commercial Country SnS+B2B'!$B:$B,"FY19-Q1",'Raw Commercial Country SnS+B2B'!$C:$C,"Germany")),"")</f>
        <v>0.10012114918656975</v>
      </c>
      <c r="G7" s="202">
        <f>SUMIFS('Raw Commercial Country SnS+B2B'!$H:$H,'Raw Commercial Country SnS+B2B'!$B:$B,"FY20-Q2",'Raw Commercial Country SnS+B2B'!$C:$C,"Germany")</f>
        <v>936</v>
      </c>
      <c r="H7" s="199">
        <f>IFERROR(((SUMIFS('Raw Commercial Country SnS+B2B'!$H:$H,'Raw Commercial Country SnS+B2B'!$B:$B,"FY20-Q2",'Raw Commercial Country SnS+B2B'!$C:$C,"Germany")-SUMIFS('Raw Commercial Country SnS+B2B'!$H:$H,'Raw Commercial Country SnS+B2B'!$B:$B,"FY19-Q2",'Raw Commercial Country SnS+B2B'!$C:$C,"Germany")))/(SUMIFS('Raw Commercial Country SnS+B2B'!$H:$H,'Raw Commercial Country SnS+B2B'!$B:$B,"FY19-Q2",'Raw Commercial Country SnS+B2B'!$C:$C,"Germany")),"")</f>
        <v>-3.5051546391752578E-2</v>
      </c>
      <c r="I7" s="246">
        <f>SUMIFS('Raw Commercial Country SnS+B2B'!$G:$G,'Raw Commercial Country SnS+B2B'!$B:$B,"FY20-Q2",'Raw Commercial Country SnS+B2B'!$C:$C,"Germany")</f>
        <v>14505</v>
      </c>
      <c r="J7" s="204">
        <f>IFERROR(((SUMIFS('Raw Commercial Country SnS+B2B'!$G:$G,'Raw Commercial Country SnS+B2B'!$B:$B,"FY20-Q2",'Raw Commercial Country SnS+B2B'!$C:$C,"Germany")-SUMIFS('Raw Commercial Country SnS+B2B'!$G:$G,'Raw Commercial Country SnS+B2B'!$B:$B,"FY19-Q2",'Raw Commercial Country SnS+B2B'!$C:$C,"Germany")))/(SUMIFS('Raw Commercial Country SnS+B2B'!$G:$G,'Raw Commercial Country SnS+B2B'!$B:$B,"FY19-Q2",'Raw Commercial Country SnS+B2B'!$C:$C,"Germany")),"")</f>
        <v>0.13746863237139273</v>
      </c>
      <c r="K7" s="227">
        <v>274</v>
      </c>
      <c r="L7" s="56">
        <f>SUMIFS('Raw Commercial Country SnS+B2B'!$H:$H,'Raw Commercial Country SnS+B2B'!$B:$B,"FY20-Q3",'Raw Commercial Country SnS+B2B'!$C:$C,"Germany")</f>
        <v>1039</v>
      </c>
      <c r="M7" s="263">
        <f t="shared" si="0"/>
        <v>3.7919708029197081</v>
      </c>
      <c r="N7" s="265"/>
      <c r="O7" s="204">
        <f t="shared" si="1"/>
        <v>2.7919708029197081</v>
      </c>
      <c r="P7" s="255">
        <f t="shared" si="2"/>
        <v>15230.25</v>
      </c>
      <c r="Q7" s="246">
        <f>SUMIFS('Raw Commercial Country SnS+B2B'!$G:$G,'Raw Commercial Country SnS+B2B'!$B:$B,"FY20-Q3",'Raw Commercial Country SnS+B2B'!$C:$C,"Germany")</f>
        <v>16427</v>
      </c>
      <c r="R7" s="263">
        <f t="shared" si="3"/>
        <v>1.0785771737167809</v>
      </c>
      <c r="S7" s="265"/>
      <c r="T7" s="204">
        <f t="shared" si="4"/>
        <v>7.8577173716780746E-2</v>
      </c>
      <c r="U7" s="227">
        <v>288</v>
      </c>
      <c r="V7" s="199">
        <f>IFERROR(((U7-SUMIFS('Raw Commercial Country SnS+B2B'!$H:$H,'Raw Commercial Country SnS+B2B'!$B:$B,"FY19-Q4",'Raw Commercial Country SnS+B2B'!$C:$C,"Germany")))/(SUMIFS('Raw Commercial Country SnS+B2B'!$H:$H,'Raw Commercial Country SnS+B2B'!$B:$B,"FY19-Q4",'Raw Commercial Country SnS+B2B'!$C:$C,"Germany")),"")</f>
        <v>-0.72334293948126804</v>
      </c>
      <c r="W7" s="232">
        <v>13457</v>
      </c>
      <c r="X7" s="203">
        <f>IFERROR(((W7-SUMIFS('Raw Commercial Country SnS+B2B'!$G:$G,'Raw Commercial Country SnS+B2B'!$B:$B,"FY19-Q4",'Raw Commercial Country SnS+B2B'!$C:$C,"Germany")))/(SUMIFS('Raw Commercial Country SnS+B2B'!$G:$G,'Raw Commercial Country SnS+B2B'!$B:$B,"FY19-Q4",'Raw Commercial Country SnS+B2B'!$C:$C,"Germany")),"")</f>
        <v>4.3420950608668685E-2</v>
      </c>
    </row>
    <row r="8" spans="1:29" s="65" customFormat="1" ht="21.75" hidden="1" customHeight="1" thickBot="1" x14ac:dyDescent="0.3">
      <c r="A8" s="156" t="s">
        <v>40</v>
      </c>
      <c r="B8" s="339"/>
      <c r="C8" s="202">
        <f>SUMIFS('Raw Commercial Country SnS+B2B'!$H:$H,'Raw Commercial Country SnS+B2B'!$B:$B,"FY20-Q1",'Raw Commercial Country SnS+B2B'!$C:$C,"Germany")</f>
        <v>1000</v>
      </c>
      <c r="D8" s="204">
        <f>IFERROR(((SUMIFS('Raw Commercial Country SnS+B2B'!$H:$H,'Raw Commercial Country SnS+B2B'!$B:$B,"FY20-Q1",'Raw Commercial Country SnS+B2B'!$C:$C,"Germany")-SUMIFS('Raw Commercial Country SnS+B2B'!$H:$H,'Raw Commercial Country SnS+B2B'!$B:$B,"FY19-Q1",'Raw Commercial Country SnS+B2B'!$C:$C,"Germany")))/(SUMIFS('Raw Commercial Country SnS+B2B'!$H:$H,'Raw Commercial Country SnS+B2B'!$B:$B,"FY19-Q1",'Raw Commercial Country SnS+B2B'!$C:$C,"Germany")),"")</f>
        <v>0.122334455667789</v>
      </c>
      <c r="E8" s="246">
        <f>SUMIFS('Raw Commercial Country SnS+B2B'!$G:$G,'Raw Commercial Country SnS+B2B'!$B:$B,"FY20-Q1",'Raw Commercial Country SnS+B2B'!$C:$C,"Germany")</f>
        <v>12713</v>
      </c>
      <c r="F8" s="204">
        <f>IFERROR(((SUMIFS('Raw Commercial Country SnS+B2B'!$G:$G,'Raw Commercial Country SnS+B2B'!$B:$B,"FY20-Q1",'Raw Commercial Country SnS+B2B'!$C:$C,"Germany")-SUMIFS('Raw Commercial Country SnS+B2B'!$G:$G,'Raw Commercial Country SnS+B2B'!$B:$B,"FY19-Q1",'Raw Commercial Country SnS+B2B'!$C:$C,"Germany")))/(SUMIFS('Raw Commercial Country SnS+B2B'!$G:$G,'Raw Commercial Country SnS+B2B'!$B:$B,"FY19-Q1",'Raw Commercial Country SnS+B2B'!$C:$C,"Germany")),"")</f>
        <v>0.10012114918656975</v>
      </c>
      <c r="G8" s="202">
        <f>SUMIFS('Raw Commercial Country SnS+B2B'!$H:$H,'Raw Commercial Country SnS+B2B'!$B:$B,"FY20-Q2",'Raw Commercial Country SnS+B2B'!$C:$C,"Germany")</f>
        <v>936</v>
      </c>
      <c r="H8" s="199">
        <f>IFERROR(((SUMIFS('Raw Commercial Country SnS+B2B'!$H:$H,'Raw Commercial Country SnS+B2B'!$B:$B,"FY20-Q2",'Raw Commercial Country SnS+B2B'!$C:$C,"Germany")-SUMIFS('Raw Commercial Country SnS+B2B'!$H:$H,'Raw Commercial Country SnS+B2B'!$B:$B,"FY19-Q2",'Raw Commercial Country SnS+B2B'!$C:$C,"Germany")))/(SUMIFS('Raw Commercial Country SnS+B2B'!$H:$H,'Raw Commercial Country SnS+B2B'!$B:$B,"FY19-Q2",'Raw Commercial Country SnS+B2B'!$C:$C,"Germany")),"")</f>
        <v>-3.5051546391752578E-2</v>
      </c>
      <c r="I8" s="246">
        <f>SUMIFS('Raw Commercial Country SnS+B2B'!$G:$G,'Raw Commercial Country SnS+B2B'!$B:$B,"FY20-Q2",'Raw Commercial Country SnS+B2B'!$C:$C,"Germany")</f>
        <v>14505</v>
      </c>
      <c r="J8" s="204">
        <f>IFERROR(((SUMIFS('Raw Commercial Country SnS+B2B'!$G:$G,'Raw Commercial Country SnS+B2B'!$B:$B,"FY20-Q2",'Raw Commercial Country SnS+B2B'!$C:$C,"Germany")-SUMIFS('Raw Commercial Country SnS+B2B'!$G:$G,'Raw Commercial Country SnS+B2B'!$B:$B,"FY19-Q2",'Raw Commercial Country SnS+B2B'!$C:$C,"Germany")))/(SUMIFS('Raw Commercial Country SnS+B2B'!$G:$G,'Raw Commercial Country SnS+B2B'!$B:$B,"FY19-Q2",'Raw Commercial Country SnS+B2B'!$C:$C,"Germany")),"")</f>
        <v>0.13746863237139273</v>
      </c>
      <c r="K8" s="228">
        <v>384</v>
      </c>
      <c r="L8" s="56">
        <f>SUMIFS('Raw Commercial Country SnS+B2B'!$H:$H,'Raw Commercial Country SnS+B2B'!$B:$B,"FY20-Q3",'Raw Commercial Country SnS+B2B'!$C:$C,"Germany")</f>
        <v>1039</v>
      </c>
      <c r="M8" s="263">
        <f t="shared" si="0"/>
        <v>2.7057291666666665</v>
      </c>
      <c r="N8" s="265"/>
      <c r="O8" s="204">
        <f t="shared" si="1"/>
        <v>1.7057291666666667</v>
      </c>
      <c r="P8" s="255">
        <f t="shared" si="2"/>
        <v>15230.25</v>
      </c>
      <c r="Q8" s="246">
        <f>SUMIFS('Raw Commercial Country SnS+B2B'!$G:$G,'Raw Commercial Country SnS+B2B'!$B:$B,"FY20-Q3",'Raw Commercial Country SnS+B2B'!$C:$C,"Germany")</f>
        <v>16427</v>
      </c>
      <c r="R8" s="263">
        <f t="shared" si="3"/>
        <v>1.0785771737167809</v>
      </c>
      <c r="S8" s="265"/>
      <c r="T8" s="204">
        <f t="shared" si="4"/>
        <v>7.8577173716780746E-2</v>
      </c>
      <c r="U8" s="228">
        <v>403</v>
      </c>
      <c r="V8" s="199">
        <f>IFERROR(((U8-SUMIFS('Raw Commercial Country SnS+B2B'!$H:$H,'Raw Commercial Country SnS+B2B'!$B:$B,"FY19-Q4",'Raw Commercial Country SnS+B2B'!$C:$C,"Germany")))/(SUMIFS('Raw Commercial Country SnS+B2B'!$H:$H,'Raw Commercial Country SnS+B2B'!$B:$B,"FY19-Q4",'Raw Commercial Country SnS+B2B'!$C:$C,"Germany")),"")</f>
        <v>-0.61287223823246872</v>
      </c>
      <c r="W8" s="233">
        <v>10578</v>
      </c>
      <c r="X8" s="203">
        <f>IFERROR(((W8-SUMIFS('Raw Commercial Country SnS+B2B'!$G:$G,'Raw Commercial Country SnS+B2B'!$B:$B,"FY19-Q4",'Raw Commercial Country SnS+B2B'!$C:$C,"Germany")))/(SUMIFS('Raw Commercial Country SnS+B2B'!$G:$G,'Raw Commercial Country SnS+B2B'!$B:$B,"FY19-Q4",'Raw Commercial Country SnS+B2B'!$C:$C,"Germany")),"")</f>
        <v>-0.17980925796696906</v>
      </c>
    </row>
    <row r="9" spans="1:29" s="65" customFormat="1" ht="21.75" hidden="1" customHeight="1" thickBot="1" x14ac:dyDescent="0.3">
      <c r="A9" s="157" t="s">
        <v>41</v>
      </c>
      <c r="B9" s="340"/>
      <c r="C9" s="205">
        <f>SUMIFS('Raw Commercial Country SnS+B2B'!$H:$H,'Raw Commercial Country SnS+B2B'!$B:$B,"FY20-Q1",'Raw Commercial Country SnS+B2B'!$C:$C,"Germany")</f>
        <v>1000</v>
      </c>
      <c r="D9" s="207">
        <f>IFERROR(((SUMIFS('Raw Commercial Country SnS+B2B'!$H:$H,'Raw Commercial Country SnS+B2B'!$B:$B,"FY20-Q1",'Raw Commercial Country SnS+B2B'!$C:$C,"Germany")-SUMIFS('Raw Commercial Country SnS+B2B'!$H:$H,'Raw Commercial Country SnS+B2B'!$B:$B,"FY19-Q1",'Raw Commercial Country SnS+B2B'!$C:$C,"Germany")))/(SUMIFS('Raw Commercial Country SnS+B2B'!$H:$H,'Raw Commercial Country SnS+B2B'!$B:$B,"FY19-Q1",'Raw Commercial Country SnS+B2B'!$C:$C,"Germany")),"")</f>
        <v>0.122334455667789</v>
      </c>
      <c r="E9" s="247">
        <f>SUMIFS('Raw Commercial Country SnS+B2B'!$G:$G,'Raw Commercial Country SnS+B2B'!$B:$B,"FY20-Q1",'Raw Commercial Country SnS+B2B'!$C:$C,"Germany")</f>
        <v>12713</v>
      </c>
      <c r="F9" s="207">
        <f>IFERROR(((SUMIFS('Raw Commercial Country SnS+B2B'!$G:$G,'Raw Commercial Country SnS+B2B'!$B:$B,"FY20-Q1",'Raw Commercial Country SnS+B2B'!$C:$C,"Germany")-SUMIFS('Raw Commercial Country SnS+B2B'!$G:$G,'Raw Commercial Country SnS+B2B'!$B:$B,"FY19-Q1",'Raw Commercial Country SnS+B2B'!$C:$C,"Germany")))/(SUMIFS('Raw Commercial Country SnS+B2B'!$G:$G,'Raw Commercial Country SnS+B2B'!$B:$B,"FY19-Q1",'Raw Commercial Country SnS+B2B'!$C:$C,"Germany")),"")</f>
        <v>0.10012114918656975</v>
      </c>
      <c r="G9" s="205">
        <f>SUMIFS('Raw Commercial Country SnS+B2B'!$H:$H,'Raw Commercial Country SnS+B2B'!$B:$B,"FY20-Q2",'Raw Commercial Country SnS+B2B'!$C:$C,"Germany")</f>
        <v>936</v>
      </c>
      <c r="H9" s="206">
        <f>IFERROR(((SUMIFS('Raw Commercial Country SnS+B2B'!$H:$H,'Raw Commercial Country SnS+B2B'!$B:$B,"FY20-Q2",'Raw Commercial Country SnS+B2B'!$C:$C,"Germany")-SUMIFS('Raw Commercial Country SnS+B2B'!$H:$H,'Raw Commercial Country SnS+B2B'!$B:$B,"FY19-Q2",'Raw Commercial Country SnS+B2B'!$C:$C,"Germany")))/(SUMIFS('Raw Commercial Country SnS+B2B'!$H:$H,'Raw Commercial Country SnS+B2B'!$B:$B,"FY19-Q2",'Raw Commercial Country SnS+B2B'!$C:$C,"Germany")),"")</f>
        <v>-3.5051546391752578E-2</v>
      </c>
      <c r="I9" s="247">
        <f>SUMIFS('Raw Commercial Country SnS+B2B'!$G:$G,'Raw Commercial Country SnS+B2B'!$B:$B,"FY20-Q2",'Raw Commercial Country SnS+B2B'!$C:$C,"Germany")</f>
        <v>14505</v>
      </c>
      <c r="J9" s="207">
        <f>IFERROR(((SUMIFS('Raw Commercial Country SnS+B2B'!$G:$G,'Raw Commercial Country SnS+B2B'!$B:$B,"FY20-Q2",'Raw Commercial Country SnS+B2B'!$C:$C,"Germany")-SUMIFS('Raw Commercial Country SnS+B2B'!$G:$G,'Raw Commercial Country SnS+B2B'!$B:$B,"FY19-Q2",'Raw Commercial Country SnS+B2B'!$C:$C,"Germany")))/(SUMIFS('Raw Commercial Country SnS+B2B'!$G:$G,'Raw Commercial Country SnS+B2B'!$B:$B,"FY19-Q2",'Raw Commercial Country SnS+B2B'!$C:$C,"Germany")),"")</f>
        <v>0.13746863237139273</v>
      </c>
      <c r="K9" s="229">
        <v>395</v>
      </c>
      <c r="L9" s="80">
        <f>SUMIFS('Raw Commercial Country SnS+B2B'!$H:$H,'Raw Commercial Country SnS+B2B'!$B:$B,"FY20-Q3",'Raw Commercial Country SnS+B2B'!$C:$C,"Germany")</f>
        <v>1039</v>
      </c>
      <c r="M9" s="263">
        <f t="shared" si="0"/>
        <v>2.6303797468354428</v>
      </c>
      <c r="N9" s="266"/>
      <c r="O9" s="207">
        <f t="shared" si="1"/>
        <v>1.6303797468354431</v>
      </c>
      <c r="P9" s="256">
        <f t="shared" si="2"/>
        <v>15230.25</v>
      </c>
      <c r="Q9" s="247">
        <f>SUMIFS('Raw Commercial Country SnS+B2B'!$G:$G,'Raw Commercial Country SnS+B2B'!$B:$B,"FY20-Q3",'Raw Commercial Country SnS+B2B'!$C:$C,"Germany")</f>
        <v>16427</v>
      </c>
      <c r="R9" s="263">
        <f t="shared" si="3"/>
        <v>1.0785771737167809</v>
      </c>
      <c r="S9" s="266"/>
      <c r="T9" s="207">
        <f t="shared" si="4"/>
        <v>7.8577173716780746E-2</v>
      </c>
      <c r="U9" s="229">
        <v>415</v>
      </c>
      <c r="V9" s="206">
        <f>IFERROR(((U9-SUMIFS('Raw Commercial Country SnS+B2B'!$H:$H,'Raw Commercial Country SnS+B2B'!$B:$B,"FY19-Q4",'Raw Commercial Country SnS+B2B'!$C:$C,"Germany")))/(SUMIFS('Raw Commercial Country SnS+B2B'!$H:$H,'Raw Commercial Country SnS+B2B'!$B:$B,"FY19-Q4",'Raw Commercial Country SnS+B2B'!$C:$C,"Germany")),"")</f>
        <v>-0.60134486071085491</v>
      </c>
      <c r="W9" s="234">
        <v>6532</v>
      </c>
      <c r="X9" s="213">
        <f>IFERROR(((W9-SUMIFS('Raw Commercial Country SnS+B2B'!$G:$G,'Raw Commercial Country SnS+B2B'!$B:$B,"FY19-Q4",'Raw Commercial Country SnS+B2B'!$C:$C,"Germany")))/(SUMIFS('Raw Commercial Country SnS+B2B'!$G:$G,'Raw Commercial Country SnS+B2B'!$B:$B,"FY19-Q4",'Raw Commercial Country SnS+B2B'!$C:$C,"Germany")),"")</f>
        <v>-0.49352562611460027</v>
      </c>
    </row>
    <row r="10" spans="1:29" s="65" customFormat="1" ht="30" customHeight="1" thickBot="1" x14ac:dyDescent="0.3">
      <c r="A10" s="209" t="s">
        <v>44</v>
      </c>
      <c r="B10" s="338" t="s">
        <v>50</v>
      </c>
      <c r="C10" s="163">
        <f>SUMIFS('Raw CSG Country SnS'!$H:$H,'Raw CSG Country SnS'!$B:$B,"FY20-Q1",'Raw CSG Country SnS'!$C:$C,"France")</f>
        <v>1835</v>
      </c>
      <c r="D10" s="208">
        <f>IFERROR(((SUMIFS('Raw CSG Country SnS'!$H:$H,'Raw CSG Country SnS'!$B:$B,"FY20-Q1",'Raw CSG Country SnS'!$C:$C,"France")-SUMIFS('Raw CSG Country SnS'!$H:$H,'Raw CSG Country SnS'!$B:$B,"FY19-Q1",'Raw CSG Country SnS'!$C:$C,"France")))/(SUMIFS('Raw CSG Country SnS'!$H:$H,'Raw CSG Country SnS'!$B:$B,"FY19-Q1",'Raw CSG Country SnS'!$C:$C,"France")),"")</f>
        <v>4.737442922374429E-2</v>
      </c>
      <c r="E10" s="245">
        <f>SUMIFS('Raw CSG Country SnS'!$G:$G,'Raw CSG Country SnS'!$B:$B,"FY20-Q1",'Raw CSG Country SnS'!$C:$C,"France")</f>
        <v>8648</v>
      </c>
      <c r="F10" s="208">
        <f>IFERROR(((SUMIFS('Raw CSG Country SnS'!$G:$G,'Raw CSG Country SnS'!$B:$B,"FY20-Q1",'Raw CSG Country SnS'!$C:$C,"France")-SUMIFS('Raw CSG Country SnS'!$G:$G,'Raw CSG Country SnS'!$B:$B,"FY19-Q1",'Raw CSG Country SnS'!$C:$C,"France")))/(SUMIFS('Raw CSG Country SnS'!$G:$G,'Raw CSG Country SnS'!$B:$B,"FY19-Q1",'Raw CSG Country SnS'!$C:$C,"France")),"")</f>
        <v>5.3734616790544656E-2</v>
      </c>
      <c r="G10" s="163">
        <f>SUMIFS('Raw CSG Country SnS'!$H:$H,'Raw CSG Country SnS'!$B:$B,"FY20-Q2",'Raw CSG Country SnS'!$C:$C,"France")</f>
        <v>1805</v>
      </c>
      <c r="H10" s="200">
        <f>IFERROR(((SUMIFS('Raw CSG Country SnS'!$H:$H,'Raw CSG Country SnS'!$B:$B,"FY20-Q2",'Raw CSG Country SnS'!$C:$C,"France")-SUMIFS('Raw CSG Country SnS'!$H:$H,'Raw CSG Country SnS'!$B:$B,"FY19-Q2",'Raw CSG Country SnS'!$C:$C,"France")))/(SUMIFS('Raw CSG Country SnS'!$H:$H,'Raw CSG Country SnS'!$B:$B,"FY19-Q2",'Raw CSG Country SnS'!$C:$C,"France")),"")</f>
        <v>3.9147956246401841E-2</v>
      </c>
      <c r="I10" s="245">
        <f>SUMIFS('Raw CSG Country SnS'!$G:$G,'Raw CSG Country SnS'!$B:$B,"FY20-Q2",'Raw CSG Country SnS'!$C:$C,"France")</f>
        <v>9085</v>
      </c>
      <c r="J10" s="208">
        <f>IFERROR(((SUMIFS('Raw CSG Country SnS'!$G:$G,'Raw CSG Country SnS'!$B:$B,"FY20-Q2",'Raw CSG Country SnS'!$C:$C,"France")-SUMIFS('Raw CSG Country SnS'!$G:$G,'Raw CSG Country SnS'!$B:$B,"FY19-Q2",'Raw CSG Country SnS'!$C:$C,"France")))/(SUMIFS('Raw CSG Country SnS'!$G:$G,'Raw CSG Country SnS'!$B:$B,"FY19-Q2",'Raw CSG Country SnS'!$C:$C,"France")),"")</f>
        <v>7.8978622327790973E-2</v>
      </c>
      <c r="K10" s="172" t="s">
        <v>53</v>
      </c>
      <c r="L10" s="50">
        <f>SUMIFS('Raw CSG Country SnS'!$H:$H,'Raw CSG Country SnS'!$B:$B,"FY20-Q3",'Raw CSG Country SnS'!$C:$C,"France")</f>
        <v>1772</v>
      </c>
      <c r="M10" s="263" t="str">
        <f t="shared" si="0"/>
        <v/>
      </c>
      <c r="N10" s="263"/>
      <c r="O10" s="208" t="str">
        <f t="shared" si="1"/>
        <v/>
      </c>
      <c r="P10" s="254">
        <f t="shared" si="2"/>
        <v>9539.25</v>
      </c>
      <c r="Q10" s="245">
        <f>SUMIFS('Raw CSG Country SnS'!$G:$G,'Raw CSG Country SnS'!$B:$B,"FY20-Q3",'Raw CSG Country SnS'!$C:$C,"France")</f>
        <v>8926</v>
      </c>
      <c r="R10" s="263">
        <f t="shared" si="3"/>
        <v>0.9357129753387321</v>
      </c>
      <c r="S10" s="263"/>
      <c r="T10" s="208">
        <f t="shared" si="4"/>
        <v>-6.4287024661267914E-2</v>
      </c>
      <c r="U10" s="172">
        <v>2226</v>
      </c>
      <c r="V10" s="200">
        <f>IFERROR(((U10-SUMIFS('Raw CSG Country SnS'!$H:$H,'Raw CSG Country SnS'!$B:$B,"FY19-Q4",'Raw CSG Country SnS'!$C:$C,"France")))/(SUMIFS('Raw CSG Country SnS'!$H:$H,'Raw CSG Country SnS'!$B:$B,"FY19-Q4",'Raw CSG Country SnS'!$C:$C,"France")),"")</f>
        <v>0.18278427205100956</v>
      </c>
      <c r="W10" s="182">
        <v>9760</v>
      </c>
      <c r="X10" s="201">
        <f>IFERROR(((W10-SUMIFS('Raw CSG Country SnS'!$G:$G,'Raw CSG Country SnS'!$B:$B,"FY19-Q4",'Raw CSG Country SnS'!$C:$C,"France")))/(SUMIFS('Raw CSG Country SnS'!$G:$G,'Raw CSG Country SnS'!$B:$B,"FY19-Q4",'Raw CSG Country SnS'!$C:$C,"France")),"")</f>
        <v>8.7344028520499106E-2</v>
      </c>
      <c r="AC10" s="264"/>
    </row>
    <row r="11" spans="1:29" s="1" customFormat="1" ht="21.75" hidden="1" customHeight="1" thickBot="1" x14ac:dyDescent="0.3">
      <c r="A11" s="161" t="s">
        <v>8</v>
      </c>
      <c r="B11" s="339"/>
      <c r="C11" s="183"/>
      <c r="D11" s="204"/>
      <c r="E11" s="248"/>
      <c r="F11" s="204"/>
      <c r="G11" s="183"/>
      <c r="H11" s="199"/>
      <c r="I11" s="248"/>
      <c r="J11" s="204"/>
      <c r="K11" s="230">
        <v>506</v>
      </c>
      <c r="L11" s="184"/>
      <c r="M11" s="263">
        <f t="shared" si="0"/>
        <v>0</v>
      </c>
      <c r="N11" s="265"/>
      <c r="O11" s="204">
        <f t="shared" si="1"/>
        <v>-1</v>
      </c>
      <c r="P11" s="257">
        <f t="shared" si="2"/>
        <v>0</v>
      </c>
      <c r="Q11" s="248"/>
      <c r="R11" s="263" t="str">
        <f t="shared" si="3"/>
        <v/>
      </c>
      <c r="S11" s="265"/>
      <c r="T11" s="204" t="str">
        <f t="shared" si="4"/>
        <v/>
      </c>
      <c r="U11" s="230">
        <v>674</v>
      </c>
      <c r="V11" s="199"/>
      <c r="W11" s="235">
        <v>5800</v>
      </c>
      <c r="X11" s="203"/>
    </row>
    <row r="12" spans="1:29" s="1" customFormat="1" ht="21.75" hidden="1" customHeight="1" thickBot="1" x14ac:dyDescent="0.3">
      <c r="A12" s="161" t="s">
        <v>40</v>
      </c>
      <c r="B12" s="339"/>
      <c r="C12" s="183"/>
      <c r="D12" s="204"/>
      <c r="E12" s="248"/>
      <c r="F12" s="204"/>
      <c r="G12" s="183"/>
      <c r="H12" s="199"/>
      <c r="I12" s="248"/>
      <c r="J12" s="204"/>
      <c r="K12" s="230">
        <v>1325</v>
      </c>
      <c r="L12" s="184"/>
      <c r="M12" s="263">
        <f t="shared" si="0"/>
        <v>0</v>
      </c>
      <c r="N12" s="265"/>
      <c r="O12" s="204">
        <f t="shared" si="1"/>
        <v>-1</v>
      </c>
      <c r="P12" s="257">
        <f t="shared" si="2"/>
        <v>0</v>
      </c>
      <c r="Q12" s="248"/>
      <c r="R12" s="263" t="str">
        <f t="shared" si="3"/>
        <v/>
      </c>
      <c r="S12" s="265"/>
      <c r="T12" s="204" t="str">
        <f t="shared" si="4"/>
        <v/>
      </c>
      <c r="U12" s="230">
        <v>1714</v>
      </c>
      <c r="V12" s="199"/>
      <c r="W12" s="235">
        <v>7600</v>
      </c>
      <c r="X12" s="203"/>
    </row>
    <row r="13" spans="1:29" s="1" customFormat="1" ht="21.75" hidden="1" customHeight="1" thickBot="1" x14ac:dyDescent="0.3">
      <c r="A13" s="162" t="s">
        <v>42</v>
      </c>
      <c r="B13" s="340"/>
      <c r="C13" s="185"/>
      <c r="D13" s="207"/>
      <c r="E13" s="249"/>
      <c r="F13" s="207"/>
      <c r="G13" s="185"/>
      <c r="H13" s="206"/>
      <c r="I13" s="249"/>
      <c r="J13" s="207"/>
      <c r="K13" s="231">
        <v>358</v>
      </c>
      <c r="L13" s="186"/>
      <c r="M13" s="263">
        <f t="shared" si="0"/>
        <v>0</v>
      </c>
      <c r="N13" s="266"/>
      <c r="O13" s="207">
        <f t="shared" si="1"/>
        <v>-1</v>
      </c>
      <c r="P13" s="258">
        <f t="shared" si="2"/>
        <v>0</v>
      </c>
      <c r="Q13" s="249"/>
      <c r="R13" s="263" t="str">
        <f t="shared" si="3"/>
        <v/>
      </c>
      <c r="S13" s="266"/>
      <c r="T13" s="207" t="str">
        <f t="shared" si="4"/>
        <v/>
      </c>
      <c r="U13" s="231">
        <v>473</v>
      </c>
      <c r="V13" s="206"/>
      <c r="W13" s="236">
        <v>10100</v>
      </c>
      <c r="X13" s="213"/>
    </row>
    <row r="14" spans="1:29" s="65" customFormat="1" ht="30" customHeight="1" thickBot="1" x14ac:dyDescent="0.3">
      <c r="A14" s="91" t="s">
        <v>45</v>
      </c>
      <c r="B14" s="332" t="s">
        <v>49</v>
      </c>
      <c r="C14" s="170">
        <f>SUMIFS('Raw Commercial Country SnS+B2B'!$H:$H,'Raw Commercial Country SnS+B2B'!$B:$B,"FY20-Q1",'Raw Commercial Country SnS+B2B'!$C:$C,"United Kingdom")</f>
        <v>1144</v>
      </c>
      <c r="D14" s="216">
        <f>IFERROR(((SUMIFS('Raw Commercial Country SnS+B2B'!$H:$H,'Raw Commercial Country SnS+B2B'!$B:$B,"FY20-Q1",'Raw Commercial Country SnS+B2B'!$C:$C,"United Kingdom")-SUMIFS('Raw Commercial Country SnS+B2B'!$H:$H,'Raw Commercial Country SnS+B2B'!$B:$B,"FY19-Q1",'Raw Commercial Country SnS+B2B'!$C:$C,"United Kingdom")))/(SUMIFS('Raw Commercial Country SnS+B2B'!$H:$H,'Raw Commercial Country SnS+B2B'!$B:$B,"FY19-Q1",'Raw Commercial Country SnS+B2B'!$C:$C,"United Kingdom")),"")</f>
        <v>0.10318225650916105</v>
      </c>
      <c r="E14" s="250">
        <f>SUMIFS('Raw Commercial Country SnS+B2B'!$G:$G,'Raw Commercial Country SnS+B2B'!$B:$B,"FY20-Q1",'Raw Commercial Country SnS+B2B'!$C:$C,"United Kingdom")</f>
        <v>15131</v>
      </c>
      <c r="F14" s="216">
        <f>IFERROR(((SUMIFS('Raw Commercial Country SnS+B2B'!$G:$G,'Raw Commercial Country SnS+B2B'!$B:$B,"FY20-Q1",'Raw Commercial Country SnS+B2B'!$C:$C,"United Kingdom")-SUMIFS('Raw Commercial Country SnS+B2B'!$G:$G,'Raw Commercial Country SnS+B2B'!$B:$B,"FY19-Q1",'Raw Commercial Country SnS+B2B'!$C:$C,"United Kingdom")))/(SUMIFS('Raw Commercial Country SnS+B2B'!$G:$G,'Raw Commercial Country SnS+B2B'!$B:$B,"FY19-Q1",'Raw Commercial Country SnS+B2B'!$C:$C,"United Kingdom")),"")</f>
        <v>7.9397916963903553E-2</v>
      </c>
      <c r="G14" s="170">
        <f>SUMIFS('Raw Commercial Country SnS+B2B'!$H:$H,'Raw Commercial Country SnS+B2B'!$B:$B,"FY20-Q2",'Raw Commercial Country SnS+B2B'!$C:$C,"United Kingdom")</f>
        <v>1120</v>
      </c>
      <c r="H14" s="217">
        <f>IFERROR(((SUMIFS('Raw Commercial Country SnS+B2B'!$H:$H,'Raw Commercial Country SnS+B2B'!$B:$B,"FY20-Q2",'Raw Commercial Country SnS+B2B'!$C:$C,"United Kingdom")-SUMIFS('Raw Commercial Country SnS+B2B'!$H:$H,'Raw Commercial Country SnS+B2B'!$B:$B,"FY19-Q2",'Raw Commercial Country SnS+B2B'!$C:$C,"United Kingdom")))/(SUMIFS('Raw Commercial Country SnS+B2B'!$H:$H,'Raw Commercial Country SnS+B2B'!$B:$B,"FY19-Q2",'Raw Commercial Country SnS+B2B'!$C:$C,"United Kingdom")),"")</f>
        <v>5.0656660412757973E-2</v>
      </c>
      <c r="I14" s="250">
        <f>SUMIFS('Raw Commercial Country SnS+B2B'!$G:$G,'Raw Commercial Country SnS+B2B'!$B:$B,"FY20-Q2",'Raw Commercial Country SnS+B2B'!$C:$C,"United Kingdom")</f>
        <v>16315</v>
      </c>
      <c r="J14" s="216">
        <f>IFERROR(((SUMIFS('Raw Commercial Country SnS+B2B'!$G:$G,'Raw Commercial Country SnS+B2B'!$B:$B,"FY20-Q2",'Raw Commercial Country SnS+B2B'!$C:$C,"United Kingdom")-SUMIFS('Raw Commercial Country SnS+B2B'!$G:$G,'Raw Commercial Country SnS+B2B'!$B:$B,"FY19-Q2",'Raw Commercial Country SnS+B2B'!$C:$C,"United Kingdom")))/(SUMIFS('Raw Commercial Country SnS+B2B'!$G:$G,'Raw Commercial Country SnS+B2B'!$B:$B,"FY19-Q2",'Raw Commercial Country SnS+B2B'!$C:$C,"United Kingdom")),"")</f>
        <v>0.19235547759994154</v>
      </c>
      <c r="K14" s="172">
        <v>1302</v>
      </c>
      <c r="L14" s="215">
        <f>SUMIFS('Raw Commercial Country SnS+B2B'!$H:$H,'Raw Commercial Country SnS+B2B'!$B:$B,"FY20-Q3",'Raw Commercial Country SnS+B2B'!$C:$C,"United Kingdom")</f>
        <v>1124</v>
      </c>
      <c r="M14" s="263">
        <f t="shared" si="0"/>
        <v>0.86328725038402454</v>
      </c>
      <c r="N14" s="267"/>
      <c r="O14" s="216">
        <f t="shared" si="1"/>
        <v>-0.13671274961597543</v>
      </c>
      <c r="P14" s="259">
        <f t="shared" si="2"/>
        <v>17130.75</v>
      </c>
      <c r="Q14" s="250">
        <f>SUMIFS('Raw Commercial Country SnS+B2B'!$G:$G,'Raw Commercial Country SnS+B2B'!$B:$B,"FY20-Q3",'Raw Commercial Country SnS+B2B'!$C:$C,"United Kingdom")</f>
        <v>16529</v>
      </c>
      <c r="R14" s="263">
        <f t="shared" si="3"/>
        <v>0.96487310829940309</v>
      </c>
      <c r="S14" s="267"/>
      <c r="T14" s="216">
        <f t="shared" si="4"/>
        <v>-3.5126891700596879E-2</v>
      </c>
      <c r="U14" s="172">
        <v>1484</v>
      </c>
      <c r="V14" s="217">
        <f>IFERROR(((U14-SUMIFS('Raw Commercial Country SnS+B2B'!$H:$H,'Raw Commercial Country SnS+B2B'!$B:$B,"FY19-Q4",'Raw Commercial Country SnS+B2B'!$C:$C,"United Kingdom")))/(SUMIFS('Raw Commercial Country SnS+B2B'!$H:$H,'Raw Commercial Country SnS+B2B'!$B:$B,"FY19-Q4",'Raw Commercial Country SnS+B2B'!$C:$C,"United Kingdom")),"")</f>
        <v>0.41468064823641565</v>
      </c>
      <c r="W14" s="181">
        <v>11759</v>
      </c>
      <c r="X14" s="218">
        <f>IFERROR(((W14-SUMIFS('Raw Commercial Country SnS+B2B'!$G:$G,'Raw Commercial Country SnS+B2B'!$B:$B,"FY19-Q4",'Raw Commercial Country SnS+B2B'!$C:$C,"United Kingdom")))/(SUMIFS('Raw Commercial Country SnS+B2B'!$G:$G,'Raw Commercial Country SnS+B2B'!$B:$B,"FY19-Q4",'Raw Commercial Country SnS+B2B'!$C:$C,"United Kingdom")),"")</f>
        <v>-5.4894711461179878E-2</v>
      </c>
    </row>
    <row r="15" spans="1:29" s="1" customFormat="1" ht="21.75" hidden="1" customHeight="1" x14ac:dyDescent="0.25">
      <c r="A15" s="161" t="s">
        <v>40</v>
      </c>
      <c r="B15" s="333"/>
      <c r="C15" s="214"/>
      <c r="D15" s="210"/>
      <c r="E15" s="251"/>
      <c r="F15" s="210"/>
      <c r="G15" s="214"/>
      <c r="H15" s="211"/>
      <c r="I15" s="251"/>
      <c r="J15" s="210"/>
      <c r="K15" s="230">
        <v>691</v>
      </c>
      <c r="L15" s="169"/>
      <c r="M15" s="263">
        <f t="shared" si="0"/>
        <v>0</v>
      </c>
      <c r="N15" s="265"/>
      <c r="O15" s="210">
        <f t="shared" si="1"/>
        <v>-1</v>
      </c>
      <c r="P15" s="260">
        <f t="shared" si="2"/>
        <v>0</v>
      </c>
      <c r="Q15" s="251"/>
      <c r="R15" s="263" t="str">
        <f t="shared" si="3"/>
        <v/>
      </c>
      <c r="S15" s="265"/>
      <c r="T15" s="210" t="str">
        <f t="shared" si="4"/>
        <v/>
      </c>
      <c r="U15" s="230">
        <v>684</v>
      </c>
      <c r="V15" s="211"/>
      <c r="W15" s="235">
        <v>9207</v>
      </c>
      <c r="X15" s="212"/>
    </row>
    <row r="16" spans="1:29" s="1" customFormat="1" ht="21.75" hidden="1" customHeight="1" x14ac:dyDescent="0.25">
      <c r="A16" s="161" t="s">
        <v>41</v>
      </c>
      <c r="B16" s="333"/>
      <c r="C16" s="183"/>
      <c r="D16" s="204"/>
      <c r="E16" s="248"/>
      <c r="F16" s="204"/>
      <c r="G16" s="183"/>
      <c r="H16" s="199"/>
      <c r="I16" s="248"/>
      <c r="J16" s="204"/>
      <c r="K16" s="230">
        <v>552</v>
      </c>
      <c r="L16" s="168"/>
      <c r="M16" s="263">
        <f t="shared" si="0"/>
        <v>0</v>
      </c>
      <c r="N16" s="265"/>
      <c r="O16" s="204">
        <f t="shared" si="1"/>
        <v>-1</v>
      </c>
      <c r="P16" s="257">
        <f t="shared" si="2"/>
        <v>0</v>
      </c>
      <c r="Q16" s="248"/>
      <c r="R16" s="263" t="str">
        <f t="shared" si="3"/>
        <v/>
      </c>
      <c r="S16" s="265"/>
      <c r="T16" s="204" t="str">
        <f t="shared" si="4"/>
        <v/>
      </c>
      <c r="U16" s="230">
        <v>565</v>
      </c>
      <c r="V16" s="199"/>
      <c r="W16" s="235">
        <v>8981</v>
      </c>
      <c r="X16" s="203"/>
    </row>
    <row r="17" spans="1:24" s="1" customFormat="1" ht="21.75" hidden="1" customHeight="1" thickBot="1" x14ac:dyDescent="0.3">
      <c r="A17" s="162" t="s">
        <v>9</v>
      </c>
      <c r="B17" s="334"/>
      <c r="C17" s="183"/>
      <c r="D17" s="204"/>
      <c r="E17" s="248"/>
      <c r="F17" s="204"/>
      <c r="G17" s="183"/>
      <c r="H17" s="199"/>
      <c r="I17" s="248"/>
      <c r="J17" s="204"/>
      <c r="K17" s="231">
        <v>405</v>
      </c>
      <c r="L17" s="168"/>
      <c r="M17" s="263">
        <f t="shared" si="0"/>
        <v>0</v>
      </c>
      <c r="N17" s="265"/>
      <c r="O17" s="204">
        <f t="shared" si="1"/>
        <v>-1</v>
      </c>
      <c r="P17" s="257">
        <f t="shared" si="2"/>
        <v>0</v>
      </c>
      <c r="Q17" s="248"/>
      <c r="R17" s="263" t="str">
        <f t="shared" si="3"/>
        <v/>
      </c>
      <c r="S17" s="265"/>
      <c r="T17" s="204" t="str">
        <f t="shared" si="4"/>
        <v/>
      </c>
      <c r="U17" s="231">
        <v>376</v>
      </c>
      <c r="V17" s="199"/>
      <c r="W17" s="236">
        <v>10368.09</v>
      </c>
      <c r="X17" s="203"/>
    </row>
    <row r="18" spans="1:24" ht="30" customHeight="1" thickBot="1" x14ac:dyDescent="0.3">
      <c r="A18" s="165" t="s">
        <v>5</v>
      </c>
      <c r="B18" s="335" t="s">
        <v>50</v>
      </c>
      <c r="C18" s="202">
        <f>SUMIFS('Raw CSG WER SnS'!$G:$G,'Raw CSG WER SnS'!$B:$B,"FY20-Q1",'Raw CSG WER SnS'!$C:$C,"WER")</f>
        <v>4745</v>
      </c>
      <c r="D18" s="204">
        <f>IFERROR(((SUMIFS('Raw CSG WER SnS'!$G:$G,'Raw CSG WER SnS'!$B:$B,"FY20-Q1",'Raw CSG WER SnS'!$C:$C,"WER")-SUMIFS('Raw CSG WER SnS'!$G:$G,'Raw CSG WER SnS'!$B:$B,"FY19-Q1",'Raw CSG WER SnS'!$C:$C,"WER")))/(SUMIFS('Raw CSG WER SnS'!$G:$G,'Raw CSG WER SnS'!$B:$B,"FY19-Q1",'Raw CSG WER SnS'!$C:$C,"WER")),"")</f>
        <v>7.6940535633227419E-2</v>
      </c>
      <c r="E18" s="246">
        <f>SUMIFS('Raw CSG WER SnS'!$F:$F,'Raw CSG WER SnS'!$B:$B,"FY20-Q1",'Raw CSG WER SnS'!$C:$C,"WER")</f>
        <v>9668</v>
      </c>
      <c r="F18" s="204">
        <f>IFERROR(((SUMIFS('Raw CSG WER SnS'!$F:$F,'Raw CSG WER SnS'!$B:$B,"FY20-Q1",'Raw CSG WER SnS'!$C:$C,"WER")-SUMIFS('Raw CSG WER SnS'!$F:$F,'Raw CSG WER SnS'!$B:$B,"FY19-Q1",'Raw CSG WER SnS'!$C:$C,"WER")))/(SUMIFS('Raw CSG WER SnS'!$F:$F,'Raw CSG WER SnS'!$B:$B,"FY19-Q1",'Raw CSG WER SnS'!$C:$C,"WER")),"")</f>
        <v>3.1253333333333334E-2</v>
      </c>
      <c r="G18" s="202">
        <f>SUMIFS('Raw CSG WER SnS'!$G:$G,'Raw CSG WER SnS'!$B:$B,"FY20-Q2",'Raw CSG WER SnS'!$C:$C,"WER")</f>
        <v>4399</v>
      </c>
      <c r="H18" s="199">
        <f>IFERROR(((SUMIFS('Raw CSG WER SnS'!$G:$G,'Raw CSG WER SnS'!$B:$B,"FY20-Q2",'Raw CSG WER SnS'!$C:$C,"WER")-SUMIFS('Raw CSG WER SnS'!$G:$G,'Raw CSG WER SnS'!$B:$B,"FY19-Q2",'Raw CSG WER SnS'!$C:$C,"WER")))/(SUMIFS('Raw CSG WER SnS'!$G:$G,'Raw CSG WER SnS'!$B:$B,"FY19-Q2",'Raw CSG WER SnS'!$C:$C,"WER")),"")</f>
        <v>-1.2126656186840333E-2</v>
      </c>
      <c r="I18" s="246">
        <f>SUMIFS('Raw CSG WER SnS'!$F:$F,'Raw CSG WER SnS'!$B:$B,"FY20-Q2",'Raw CSG WER SnS'!$C:$C,"WER")</f>
        <v>8852</v>
      </c>
      <c r="J18" s="204">
        <f>IFERROR(((SUMIFS('Raw CSG WER SnS'!$F:$F,'Raw CSG WER SnS'!$B:$B,"FY20-Q2",'Raw CSG WER SnS'!$C:$C,"WER")-SUMIFS('Raw CSG WER SnS'!$F:$F,'Raw CSG WER SnS'!$B:$B,"FY19-Q2",'Raw CSG WER SnS'!$C:$C,"WER")))/(SUMIFS('Raw CSG WER SnS'!$F:$F,'Raw CSG WER SnS'!$B:$B,"FY19-Q2",'Raw CSG WER SnS'!$C:$C,"WER")),"")</f>
        <v>3.4353820986211731E-2</v>
      </c>
      <c r="K18" s="173">
        <v>5903</v>
      </c>
      <c r="L18" s="56">
        <f>SUMIFS('Raw CSG WER SnS'!$G:$G,'Raw CSG WER SnS'!$B:$B,"FY20-Q3",'Raw CSG WER SnS'!$C:$C,"WER")</f>
        <v>4499</v>
      </c>
      <c r="M18" s="263">
        <f t="shared" si="0"/>
        <v>0.76215483652380145</v>
      </c>
      <c r="N18" s="265"/>
      <c r="O18" s="204">
        <f t="shared" si="1"/>
        <v>-0.23784516347619855</v>
      </c>
      <c r="P18" s="255">
        <f t="shared" si="2"/>
        <v>9294.6</v>
      </c>
      <c r="Q18" s="246">
        <f>SUMIFS('Raw CSG WER SnS'!$F:$F,'Raw CSG WER SnS'!$B:$B,"FY20-Q3",'Raw CSG WER SnS'!$C:$C,"WER")</f>
        <v>9598</v>
      </c>
      <c r="R18" s="263">
        <f t="shared" si="3"/>
        <v>1.0326426096873453</v>
      </c>
      <c r="S18" s="265"/>
      <c r="T18" s="204">
        <f t="shared" si="4"/>
        <v>3.2642609687345302E-2</v>
      </c>
      <c r="U18" s="173">
        <v>6882</v>
      </c>
      <c r="V18" s="199">
        <f>IFERROR(((U18-SUMIFS('Raw CSG WER SnS'!$G:$G,'Raw CSG WER SnS'!$B:$B,"FY19-Q4",'Raw CSG WER SnS'!$C:$C,"WER")))/(SUMIFS('Raw CSG WER SnS'!$G:$G,'Raw CSG WER SnS'!$B:$B,"FY19-Q4",'Raw CSG WER SnS'!$C:$C,"WER")),"")</f>
        <v>0.43584393907782182</v>
      </c>
      <c r="W18" s="237">
        <v>11203</v>
      </c>
      <c r="X18" s="203">
        <f>IFERROR(((W18-SUMIFS('Raw CSG WER SnS'!$F:$F,'Raw CSG WER SnS'!$B:$B,"FY19-Q4",'Raw CSG WER SnS'!$C:$C,"WER")))/(SUMIFS('Raw CSG WER SnS'!$F:$F,'Raw CSG WER SnS'!$B:$B,"FY19-Q4",'Raw CSG WER SnS'!$C:$C,"WER")),"")</f>
        <v>0.17407252148396563</v>
      </c>
    </row>
    <row r="19" spans="1:24" ht="14.1" customHeight="1" thickBot="1" x14ac:dyDescent="0.3">
      <c r="A19" s="166" t="s">
        <v>12</v>
      </c>
      <c r="B19" s="336"/>
      <c r="C19" s="202">
        <f>SUMIFS('Raw CSG Country SnS'!$H:$H,'Raw CSG Country SnS'!$B:$B,"FY20-Q1",'Raw CSG Country SnS'!$D:$D,"Netherlands")</f>
        <v>785</v>
      </c>
      <c r="D19" s="204">
        <f>IFERROR(((SUMIFS('Raw CSG Country SnS'!$H:$H,'Raw CSG Country SnS'!$B:$B,"FY20-Q1",'Raw CSG Country SnS'!$D:$D,"Netherlands")-SUMIFS('Raw CSG Country SnS'!$H:$H,'Raw CSG Country SnS'!$B:$B,"FY19-Q1",'Raw CSG Country SnS'!$D:$D,"Netherlands")))/(SUMIFS('Raw CSG Country SnS'!$H:$H,'Raw CSG Country SnS'!$B:$B,"FY19-Q1",'Raw CSG Country SnS'!$D:$D,"Netherlands")),"")</f>
        <v>0.1561119293078056</v>
      </c>
      <c r="E19" s="246">
        <f>SUMIFS('Raw CSG Country SnS'!$G:$G,'Raw CSG Country SnS'!$B:$B,"FY20-Q1",'Raw CSG Country SnS'!$D:$D,"Netherlands")</f>
        <v>13046</v>
      </c>
      <c r="F19" s="204">
        <f>IFERROR(((SUMIFS('Raw CSG Country SnS'!$G:$G,'Raw CSG Country SnS'!$B:$B,"FY20-Q1",'Raw CSG Country SnS'!$D:$D,"Netherlands")-SUMIFS('Raw CSG Country SnS'!$G:$G,'Raw CSG Country SnS'!$B:$B,"FY19-Q1",'Raw CSG Country SnS'!$D:$D,"Netherlands")))/(SUMIFS('Raw CSG Country SnS'!$G:$G,'Raw CSG Country SnS'!$B:$B,"FY19-Q1",'Raw CSG Country SnS'!$D:$D,"Netherlands")),"")</f>
        <v>0.11133827412897181</v>
      </c>
      <c r="G19" s="202">
        <f>SUMIFS('Raw CSG Country SnS'!$H:$H,'Raw CSG Country SnS'!$B:$B,"FY20-Q2",'Raw CSG Country SnS'!$D:$D,"Netherlands")</f>
        <v>747</v>
      </c>
      <c r="H19" s="199">
        <f>IFERROR(((SUMIFS('Raw CSG Country SnS'!$H:$H,'Raw CSG Country SnS'!$B:$B,"FY20-Q2",'Raw CSG Country SnS'!$D:$D,"Netherlands")-SUMIFS('Raw CSG Country SnS'!$H:$H,'Raw CSG Country SnS'!$B:$B,"FY19-Q2",'Raw CSG Country SnS'!$D:$D,"Netherlands")))/(SUMIFS('Raw CSG Country SnS'!$H:$H,'Raw CSG Country SnS'!$B:$B,"FY19-Q2",'Raw CSG Country SnS'!$D:$D,"Netherlands")),"")</f>
        <v>4.6218487394957986E-2</v>
      </c>
      <c r="I19" s="246">
        <f>SUMIFS('Raw CSG Country SnS'!$G:$G,'Raw CSG Country SnS'!$B:$B,"FY20-Q2",'Raw CSG Country SnS'!$D:$D,"Netherlands")</f>
        <v>9912</v>
      </c>
      <c r="J19" s="204">
        <f>IFERROR(((SUMIFS('Raw CSG Country SnS'!$G:$G,'Raw CSG Country SnS'!$B:$B,"FY20-Q2",'Raw CSG Country SnS'!$D:$D,"Netherlands")-SUMIFS('Raw CSG Country SnS'!$G:$G,'Raw CSG Country SnS'!$B:$B,"FY19-Q2",'Raw CSG Country SnS'!$D:$D,"Netherlands")))/(SUMIFS('Raw CSG Country SnS'!$G:$G,'Raw CSG Country SnS'!$B:$B,"FY19-Q2",'Raw CSG Country SnS'!$D:$D,"Netherlands")),"")</f>
        <v>9.7799511002444987E-3</v>
      </c>
      <c r="K19" s="174">
        <v>800</v>
      </c>
      <c r="L19" s="56">
        <f>SUMIFS('Raw CSG Country SnS'!$H:$H,'Raw CSG Country SnS'!$B:$B,"FY20-Q3",'Raw CSG Country SnS'!$D:$D,"Netherlands")</f>
        <v>766</v>
      </c>
      <c r="M19" s="263">
        <f t="shared" si="0"/>
        <v>0.95750000000000002</v>
      </c>
      <c r="N19" s="265"/>
      <c r="O19" s="204">
        <f t="shared" si="1"/>
        <v>-4.2500000000000003E-2</v>
      </c>
      <c r="P19" s="255">
        <f t="shared" si="2"/>
        <v>10407.6</v>
      </c>
      <c r="Q19" s="246">
        <f>SUMIFS('Raw CSG Country SnS'!$G:$G,'Raw CSG Country SnS'!$B:$B,"FY20-Q3",'Raw CSG Country SnS'!$D:$D,"Netherlands")</f>
        <v>11705</v>
      </c>
      <c r="R19" s="263">
        <f t="shared" si="3"/>
        <v>1.1246589031092662</v>
      </c>
      <c r="S19" s="265"/>
      <c r="T19" s="204">
        <f t="shared" si="4"/>
        <v>0.12465890310926626</v>
      </c>
      <c r="U19" s="174">
        <v>950</v>
      </c>
      <c r="V19" s="199">
        <f>IFERROR(((U19-SUMIFS('Raw CSG Country SnS'!$H:$H,'Raw CSG Country SnS'!$B:$B,"FY19-Q4",'Raw CSG Country SnS'!$D:$D,"Netherlands")))/(SUMIFS('Raw CSG Country SnS'!$H:$H,'Raw CSG Country SnS'!$B:$B,"FY19-Q4",'Raw CSG Country SnS'!$D:$D,"Netherlands")),"")</f>
        <v>0.19798234552332913</v>
      </c>
      <c r="W19" s="238">
        <v>15390</v>
      </c>
      <c r="X19" s="203">
        <f>IFERROR(((W19-SUMIFS('Raw CSG Country SnS'!$G:$G,'Raw CSG Country SnS'!$B:$B,"FY19-Q4",'Raw CSG Country SnS'!$D:$D,"Netherlands")))/(SUMIFS('Raw CSG Country SnS'!$G:$G,'Raw CSG Country SnS'!$B:$B,"FY19-Q4",'Raw CSG Country SnS'!$D:$D,"Netherlands")),"")</f>
        <v>0.26365054602184085</v>
      </c>
    </row>
    <row r="20" spans="1:24" ht="14.1" customHeight="1" thickBot="1" x14ac:dyDescent="0.3">
      <c r="A20" s="166" t="s">
        <v>14</v>
      </c>
      <c r="B20" s="336"/>
      <c r="C20" s="202">
        <f>SUMIFS('RAW CSG BLX SnS'!$G:$G,'RAW CSG BLX SnS'!$B:$B,"FY20-Q1",'RAW CSG BLX SnS'!$C:$C,"WER")</f>
        <v>602</v>
      </c>
      <c r="D20" s="204">
        <f>IFERROR(((SUMIFS('RAW CSG BLX SnS'!$G:$G,'RAW CSG BLX SnS'!$B:$B,"FY20-Q1",'RAW CSG BLX SnS'!$C:$C,"WER")-SUMIFS('RAW CSG BLX SnS'!$G:$G,'RAW CSG BLX SnS'!$B:$B,"FY19-Q1",'RAW CSG BLX SnS'!$C:$C,"WER")))/(SUMIFS('RAW CSG BLX SnS'!$G:$G,'RAW CSG BLX SnS'!$B:$B,"FY19-Q1",'RAW CSG BLX SnS'!$C:$C,"WER")),"")</f>
        <v>0.14448669201520911</v>
      </c>
      <c r="E20" s="246">
        <f>SUMIFS('RAW CSG BLX SnS'!$F:$F,'RAW CSG BLX SnS'!$B:$B,"FY20-Q1",'RAW CSG BLX SnS'!$C:$C,"WER")</f>
        <v>6348</v>
      </c>
      <c r="F20" s="204">
        <f>IFERROR(((SUMIFS('RAW CSG BLX SnS'!$F:$F,'RAW CSG BLX SnS'!$B:$B,"FY20-Q1",'RAW CSG BLX SnS'!$C:$C,"WER")-SUMIFS('RAW CSG BLX SnS'!$F:$F,'RAW CSG BLX SnS'!$B:$B,"FY19-Q1",'RAW CSG BLX SnS'!$C:$C,"WER")))/(SUMIFS('RAW CSG BLX SnS'!$F:$F,'RAW CSG BLX SnS'!$B:$B,"FY19-Q1",'RAW CSG BLX SnS'!$C:$C,"WER")),"")</f>
        <v>-1.044427123928293E-2</v>
      </c>
      <c r="G20" s="202">
        <f>SUMIFS('RAW CSG BLX SnS'!$G:$G,'RAW CSG BLX SnS'!$B:$B,"FY20-Q2",'RAW CSG BLX SnS'!$C:$C,"WER")</f>
        <v>546</v>
      </c>
      <c r="H20" s="199">
        <f>IFERROR(((SUMIFS('RAW CSG BLX SnS'!$G:$G,'RAW CSG BLX SnS'!$B:$B,"FY20-Q2",'RAW CSG BLX SnS'!$C:$C,"WER")-SUMIFS('RAW CSG BLX SnS'!$G:$G,'RAW CSG BLX SnS'!$B:$B,"FY19-Q2",'RAW CSG BLX SnS'!$C:$C,"WER")))/(SUMIFS('RAW CSG BLX SnS'!$G:$G,'RAW CSG BLX SnS'!$B:$B,"FY19-Q2",'RAW CSG BLX SnS'!$C:$C,"WER")),"")</f>
        <v>4.3977055449330782E-2</v>
      </c>
      <c r="I20" s="246">
        <f>SUMIFS('RAW CSG BLX SnS'!$F:$F,'RAW CSG BLX SnS'!$B:$B,"FY20-Q2",'RAW CSG BLX SnS'!$C:$C,"WER")</f>
        <v>5712</v>
      </c>
      <c r="J20" s="204">
        <f>IFERROR(((SUMIFS('Raw Commercial Country SnS+B2B'!$F:$F,'Raw Commercial Country SnS+B2B'!$B:$B,"FY20-Q2",'Raw Commercial Country SnS+B2B'!$C:$C,"United Kingdom")-SUMIFS('Raw Commercial Country SnS+B2B'!$F:$F,'Raw Commercial Country SnS+B2B'!$B:$B,"FY19-Q2",'Raw Commercial Country SnS+B2B'!$C:$C,"United Kingdom")))/(SUMIFS('Raw Commercial Country SnS+B2B'!$F:$F,'Raw Commercial Country SnS+B2B'!$B:$B,"FY19-Q2",'Raw Commercial Country SnS+B2B'!$C:$C,"United Kingdom")),"")</f>
        <v>0.25270527453120456</v>
      </c>
      <c r="K20" s="175">
        <v>570</v>
      </c>
      <c r="L20" s="56">
        <f>SUMIFS('RAW CSG BLX SnS'!$G:$G,'RAW CSG BLX SnS'!$B:$B,"FY20-Q3",'RAW CSG BLX SnS'!$C:$C,"WER")</f>
        <v>571</v>
      </c>
      <c r="M20" s="263">
        <f t="shared" si="0"/>
        <v>1.0017543859649123</v>
      </c>
      <c r="N20" s="265"/>
      <c r="O20" s="204">
        <f t="shared" si="1"/>
        <v>1.7543859649122807E-3</v>
      </c>
      <c r="P20" s="255">
        <f t="shared" si="2"/>
        <v>5997.6</v>
      </c>
      <c r="Q20" s="246">
        <f>SUMIFS('RAW CSG BLX SnS'!$F:$F,'RAW CSG BLX SnS'!$B:$B,"FY20-Q3",'RAW CSG BLX SnS'!$C:$C,"WER")</f>
        <v>6112</v>
      </c>
      <c r="R20" s="263">
        <f t="shared" si="3"/>
        <v>1.0190742963852206</v>
      </c>
      <c r="S20" s="265"/>
      <c r="T20" s="204">
        <f t="shared" si="4"/>
        <v>1.9074296385220693E-2</v>
      </c>
      <c r="U20" s="175">
        <v>640</v>
      </c>
      <c r="V20" s="199">
        <f>IFERROR(((U20-SUMIFS('RAW CSG BLX SnS'!$G:$G,'RAW CSG BLX SnS'!$B:$B,"FY19-Q4",'RAW CSG BLX SnS'!$C:$C,"WER")))/(SUMIFS('RAW CSG BLX SnS'!$G:$G,'RAW CSG BLX SnS'!$B:$B,"FY19-Q4",'RAW CSG BLX SnS'!$C:$C,"WER")),"")</f>
        <v>9.5890410958904104E-2</v>
      </c>
      <c r="W20" s="239">
        <v>6800</v>
      </c>
      <c r="X20" s="203">
        <f>IFERROR(((W20-SUMIFS('RAW CSG BLX SnS'!$F:$F,'RAW CSG BLX SnS'!$B:$B,"FY19-Q4",'RAW CSG BLX SnS'!$C:$C,"WER")))/(SUMIFS('RAW CSG BLX SnS'!$F:$F,'RAW CSG BLX SnS'!$B:$B,"FY19-Q4",'RAW CSG BLX SnS'!$C:$C,"WER")),"")</f>
        <v>2.8277634961439587E-2</v>
      </c>
    </row>
    <row r="21" spans="1:24" ht="14.1" customHeight="1" thickBot="1" x14ac:dyDescent="0.3">
      <c r="A21" s="166" t="s">
        <v>15</v>
      </c>
      <c r="B21" s="336"/>
      <c r="C21" s="202">
        <f>SUMIFS('Raw CSG Country SnS'!$H:$H,'Raw CSG Country SnS'!$B:$B,"FY20-Q1",'Raw CSG Country SnS'!$D:$D,"SPAIN")</f>
        <v>1573</v>
      </c>
      <c r="D21" s="204">
        <f>IFERROR(((SUMIFS('Raw CSG Country SnS'!$H:$H,'Raw CSG Country SnS'!$B:$B,"FY20-Q1",'Raw CSG Country SnS'!$D:$D,"SPAIN")-SUMIFS('Raw CSG Country SnS'!$H:$H,'Raw CSG Country SnS'!$B:$B,"FY19-Q1",'Raw CSG Country SnS'!$D:$D,"SPAIN")))/(SUMIFS('Raw CSG Country SnS'!$H:$H,'Raw CSG Country SnS'!$B:$B,"FY19-Q1",'Raw CSG Country SnS'!$D:$D,"SPAIN")),"")</f>
        <v>6.6440677966101688E-2</v>
      </c>
      <c r="E21" s="246">
        <f>SUMIFS('Raw CSG Country SnS'!$G:$G,'Raw CSG Country SnS'!$B:$B,"FY20-Q1",'Raw CSG Country SnS'!$D:$D,"SPAIN")</f>
        <v>7468</v>
      </c>
      <c r="F21" s="204">
        <f>IFERROR(((SUMIFS('Raw CSG Country SnS'!$G:$G,'Raw CSG Country SnS'!$B:$B,"FY20-Q1",'Raw CSG Country SnS'!$D:$D,"SPAIN")-SUMIFS('Raw CSG Country SnS'!$G:$G,'Raw CSG Country SnS'!$B:$B,"FY19-Q1",'Raw CSG Country SnS'!$D:$D,"SPAIN")))/(SUMIFS('Raw CSG Country SnS'!$G:$G,'Raw CSG Country SnS'!$B:$B,"FY19-Q1",'Raw CSG Country SnS'!$D:$D,"SPAIN")),"")</f>
        <v>5.3611738148984199E-2</v>
      </c>
      <c r="G21" s="202">
        <f>SUMIFS('Raw CSG Country SnS'!$H:$H,'Raw CSG Country SnS'!$B:$B,"FY20-Q2",'Raw CSG Country SnS'!$D:$D,"SPAIN")</f>
        <v>1424</v>
      </c>
      <c r="H21" s="199">
        <f>IFERROR(((SUMIFS('Raw CSG Country SnS'!$H:$H,'Raw CSG Country SnS'!$B:$B,"FY20-Q2",'Raw CSG Country SnS'!$D:$D,"SPAIN")-SUMIFS('Raw CSG Country SnS'!$H:$H,'Raw CSG Country SnS'!$B:$B,"FY19-Q2",'Raw CSG Country SnS'!$D:$D,"SPAIN")))/(SUMIFS('Raw CSG Country SnS'!$H:$H,'Raw CSG Country SnS'!$B:$B,"FY19-Q2",'Raw CSG Country SnS'!$D:$D,"SPAIN")),"")</f>
        <v>-6.5616797900262466E-2</v>
      </c>
      <c r="I21" s="246">
        <f>SUMIFS('Raw CSG Country SnS'!$G:$G,'Raw CSG Country SnS'!$B:$B,"FY20-Q2",'Raw CSG Country SnS'!$D:$D,"SPAIN")</f>
        <v>7052</v>
      </c>
      <c r="J21" s="204">
        <f>IFERROR(((SUMIFS('Raw CSG Country SnS'!$G:$G,'Raw CSG Country SnS'!$B:$B,"FY20-Q2",'Raw CSG Country SnS'!$D:$D,"SPAIN")-SUMIFS('Raw CSG Country SnS'!$G:$G,'Raw CSG Country SnS'!$B:$B,"FY19-Q2",'Raw CSG Country SnS'!$D:$D,"SPAIN")))/(SUMIFS('Raw CSG Country SnS'!$G:$G,'Raw CSG Country SnS'!$B:$B,"FY19-Q2",'Raw CSG Country SnS'!$D:$D,"SPAIN")),"")</f>
        <v>-6.3852382848798614E-2</v>
      </c>
      <c r="K21" s="176">
        <v>1800</v>
      </c>
      <c r="L21" s="56">
        <f>SUMIFS('Raw CSG Country SnS'!$H:$H,'Raw CSG Country SnS'!$B:$B,"FY20-Q3",'Raw CSG Country SnS'!$D:$D,"SPAIN")</f>
        <v>1370</v>
      </c>
      <c r="M21" s="263">
        <f t="shared" si="0"/>
        <v>0.76111111111111107</v>
      </c>
      <c r="N21" s="265"/>
      <c r="O21" s="204">
        <f t="shared" si="1"/>
        <v>-0.2388888888888889</v>
      </c>
      <c r="P21" s="255">
        <f t="shared" si="2"/>
        <v>7404.6</v>
      </c>
      <c r="Q21" s="246">
        <f>SUMIFS('Raw CSG Country SnS'!$G:$G,'Raw CSG Country SnS'!$B:$B,"FY20-Q3",'Raw CSG Country SnS'!$D:$D,"SPAIN")</f>
        <v>7567</v>
      </c>
      <c r="R21" s="263">
        <f t="shared" si="3"/>
        <v>1.0219323123463793</v>
      </c>
      <c r="S21" s="265"/>
      <c r="T21" s="204">
        <f t="shared" si="4"/>
        <v>2.1932312346379226E-2</v>
      </c>
      <c r="U21" s="176">
        <v>1900</v>
      </c>
      <c r="V21" s="199">
        <f>IFERROR(((U21-SUMIFS('Raw CSG Country SnS'!$H:$H,'Raw CSG Country SnS'!$B:$B,"FY19-Q4",'Raw CSG Country SnS'!$D:$D,"SPAIN")))/(SUMIFS('Raw CSG Country SnS'!$H:$H,'Raw CSG Country SnS'!$B:$B,"FY19-Q4",'Raw CSG Country SnS'!$D:$D,"SPAIN")),"")</f>
        <v>0.18159203980099503</v>
      </c>
      <c r="W21" s="240">
        <v>17100</v>
      </c>
      <c r="X21" s="203">
        <f>IFERROR(((W21-SUMIFS('Raw CSG Country SnS'!$G:$G,'Raw CSG Country SnS'!$B:$B,"FY19-Q4",'Raw CSG Country SnS'!$D:$D,"SPAIN")))/(SUMIFS('Raw CSG Country SnS'!$G:$G,'Raw CSG Country SnS'!$B:$B,"FY19-Q4",'Raw CSG Country SnS'!$D:$D,"SPAIN")),"")</f>
        <v>1.1145047607270928</v>
      </c>
    </row>
    <row r="22" spans="1:24" ht="14.1" customHeight="1" thickBot="1" x14ac:dyDescent="0.3">
      <c r="A22" s="166" t="s">
        <v>16</v>
      </c>
      <c r="B22" s="336"/>
      <c r="C22" s="202">
        <f>SUMIFS('Raw CSG Country SnS'!$H:$H,'Raw CSG Country SnS'!$B:$B,"FY20-Q1",'Raw CSG Country SnS'!$D:$D,"PORTUGAL")</f>
        <v>309</v>
      </c>
      <c r="D22" s="204">
        <f>IFERROR(((SUMIFS('Raw CSG Country SnS'!$H:$H,'Raw CSG Country SnS'!$B:$B,"FY20-Q1",'Raw CSG Country SnS'!$D:$D,"PORTUGAL")-SUMIFS('Raw CSG Country SnS'!$H:$H,'Raw CSG Country SnS'!$B:$B,"FY19-Q1",'Raw CSG Country SnS'!$D:$D,"PORTUGAL")))/(SUMIFS('Raw CSG Country SnS'!$H:$H,'Raw CSG Country SnS'!$B:$B,"FY19-Q1",'Raw CSG Country SnS'!$D:$D,"PORTUGAL")),"")</f>
        <v>0</v>
      </c>
      <c r="E22" s="246">
        <f>SUMIFS('Raw CSG Country SnS'!$G:$G,'Raw CSG Country SnS'!$B:$B,"FY20-Q1",'Raw CSG Country SnS'!$D:$D,"PORTUGAL")</f>
        <v>7106</v>
      </c>
      <c r="F22" s="204">
        <f>IFERROR(((SUMIFS('Raw CSG Country SnS'!$G:$G,'Raw CSG Country SnS'!$B:$B,"FY20-Q1",'Raw CSG Country SnS'!$D:$D,"PORTUGAL")-SUMIFS('Raw CSG Country SnS'!$G:$G,'Raw CSG Country SnS'!$B:$B,"FY19-Q1",'Raw CSG Country SnS'!$D:$D,"PORTUGAL")))/(SUMIFS('Raw CSG Country SnS'!$G:$G,'Raw CSG Country SnS'!$B:$B,"FY19-Q1",'Raw CSG Country SnS'!$D:$D,"PORTUGAL")),"")</f>
        <v>0.17299438758666227</v>
      </c>
      <c r="G22" s="202">
        <f>SUMIFS('Raw CSG Country SnS'!$H:$H,'Raw CSG Country SnS'!$B:$B,"FY20-Q2",'Raw CSG Country SnS'!$D:$D,"PORTUGAL")</f>
        <v>308</v>
      </c>
      <c r="H22" s="199">
        <f>IFERROR(((SUMIFS('Raw CSG Country SnS'!$H:$H,'Raw CSG Country SnS'!$B:$B,"FY20-Q2",'Raw CSG Country SnS'!$D:$D,"PORTUGAL")-SUMIFS('Raw CSG Country SnS'!$H:$H,'Raw CSG Country SnS'!$B:$B,"FY19-Q2",'Raw CSG Country SnS'!$D:$D,"PORTUGAL")))/(SUMIFS('Raw CSG Country SnS'!$H:$H,'Raw CSG Country SnS'!$B:$B,"FY19-Q2",'Raw CSG Country SnS'!$D:$D,"PORTUGAL")),"")</f>
        <v>-3.7499999999999999E-2</v>
      </c>
      <c r="I22" s="246">
        <f>SUMIFS('Raw CSG Country SnS'!$G:$G,'Raw CSG Country SnS'!$B:$B,"FY20-Q2",'Raw CSG Country SnS'!$D:$D,"PORTUGAL")</f>
        <v>9429</v>
      </c>
      <c r="J22" s="204">
        <f>IFERROR(((SUMIFS('Raw CSG Country SnS'!$G:$G,'Raw CSG Country SnS'!$B:$B,"FY20-Q2",'Raw CSG Country SnS'!$D:$D,"PORTUGAL")-SUMIFS('Raw CSG Country SnS'!$G:$G,'Raw CSG Country SnS'!$B:$B,"FY19-Q2",'Raw CSG Country SnS'!$D:$D,"PORTUGAL")))/(SUMIFS('Raw CSG Country SnS'!$G:$G,'Raw CSG Country SnS'!$B:$B,"FY19-Q2",'Raw CSG Country SnS'!$D:$D,"PORTUGAL")),"")</f>
        <v>0.67835528657885369</v>
      </c>
      <c r="K22" s="175">
        <v>350</v>
      </c>
      <c r="L22" s="56">
        <f>SUMIFS('Raw CSG Country SnS'!$H:$H,'Raw CSG Country SnS'!$B:$B,"FY20-Q3",'Raw CSG Country SnS'!$D:$D,"PORTUGAL")</f>
        <v>313</v>
      </c>
      <c r="M22" s="263">
        <f t="shared" si="0"/>
        <v>0.89428571428571424</v>
      </c>
      <c r="N22" s="265"/>
      <c r="O22" s="204">
        <f t="shared" si="1"/>
        <v>-0.10571428571428572</v>
      </c>
      <c r="P22" s="255">
        <f t="shared" si="2"/>
        <v>9900.4500000000007</v>
      </c>
      <c r="Q22" s="246">
        <f>SUMIFS('Raw CSG Country SnS'!$G:$G,'Raw CSG Country SnS'!$B:$B,"FY20-Q3",'Raw CSG Country SnS'!$D:$D,"PORTUGAL")</f>
        <v>6609</v>
      </c>
      <c r="R22" s="263">
        <f t="shared" si="3"/>
        <v>0.66754541460236649</v>
      </c>
      <c r="S22" s="265"/>
      <c r="T22" s="204">
        <f t="shared" si="4"/>
        <v>-0.33245458539763351</v>
      </c>
      <c r="U22" s="175">
        <v>380</v>
      </c>
      <c r="V22" s="199">
        <f>IFERROR(((U22-SUMIFS('Raw CSG Country SnS'!$H:$H,'Raw CSG Country SnS'!$B:$B,"FY19-Q4",'Raw CSG Country SnS'!$D:$D,"PORTUGAL")))/(SUMIFS('Raw CSG Country SnS'!$H:$H,'Raw CSG Country SnS'!$B:$B,"FY19-Q4",'Raw CSG Country SnS'!$D:$D,"PORTUGAL")),"")</f>
        <v>0.11764705882352941</v>
      </c>
      <c r="W22" s="239">
        <v>3900</v>
      </c>
      <c r="X22" s="203">
        <f>IFERROR(((W22-SUMIFS('Raw CSG Country SnS'!$G:$G,'Raw CSG Country SnS'!$B:$B,"FY19-Q4",'Raw CSG Country SnS'!$D:$D,"PORTUGAL")))/(SUMIFS('Raw CSG Country SnS'!$G:$G,'Raw CSG Country SnS'!$B:$B,"FY19-Q4",'Raw CSG Country SnS'!$D:$D,"PORTUGAL")),"")</f>
        <v>-0.43082311733800349</v>
      </c>
    </row>
    <row r="23" spans="1:24" ht="14.1" customHeight="1" thickBot="1" x14ac:dyDescent="0.3">
      <c r="A23" s="166" t="s">
        <v>17</v>
      </c>
      <c r="B23" s="336"/>
      <c r="C23" s="202">
        <f>SUMIFS('Raw CSG Country SnS'!$H:$H,'Raw CSG Country SnS'!$B:$B,"FY20-Q1",'Raw CSG Country SnS'!$D:$D,"Austria")</f>
        <v>240</v>
      </c>
      <c r="D23" s="204">
        <f>IFERROR(((SUMIFS('Raw CSG Country SnS'!$H:$H,'Raw CSG Country SnS'!$B:$B,"FY20-Q1",'Raw CSG Country SnS'!$D:$D,"Austria")-SUMIFS('Raw CSG Country SnS'!$H:$H,'Raw CSG Country SnS'!$B:$B,"FY19-Q1",'Raw CSG Country SnS'!$D:$D,"Austria")))/(SUMIFS('Raw CSG Country SnS'!$H:$H,'Raw CSG Country SnS'!$B:$B,"FY19-Q1",'Raw CSG Country SnS'!$D:$D,"Austria")),"")</f>
        <v>3.896103896103896E-2</v>
      </c>
      <c r="E23" s="246">
        <f>SUMIFS('Raw CSG Country SnS'!$G:$G,'Raw CSG Country SnS'!$B:$B,"FY20-Q1",'Raw CSG Country SnS'!$D:$D,"Austria")</f>
        <v>12323</v>
      </c>
      <c r="F23" s="204">
        <f>IFERROR(((SUMIFS('Raw CSG Country SnS'!$G:$G,'Raw CSG Country SnS'!$B:$B,"FY20-Q1",'Raw CSG Country SnS'!$D:$D,"Austria")-SUMIFS('Raw CSG Country SnS'!$G:$G,'Raw CSG Country SnS'!$B:$B,"FY19-Q1",'Raw CSG Country SnS'!$D:$D,"Austria")))/(SUMIFS('Raw CSG Country SnS'!$G:$G,'Raw CSG Country SnS'!$B:$B,"FY19-Q1",'Raw CSG Country SnS'!$D:$D,"Austria")),"")</f>
        <v>0.17608322198892917</v>
      </c>
      <c r="G23" s="202">
        <f>SUMIFS('Raw CSG Country SnS'!$H:$H,'Raw CSG Country SnS'!$B:$B,"FY20-Q2",'Raw CSG Country SnS'!$D:$D,"Austria")</f>
        <v>227</v>
      </c>
      <c r="H23" s="199">
        <f>IFERROR(((SUMIFS('Raw CSG Country SnS'!$H:$H,'Raw CSG Country SnS'!$B:$B,"FY20-Q2",'Raw CSG Country SnS'!$D:$D,"Austria")-SUMIFS('Raw CSG Country SnS'!$H:$H,'Raw CSG Country SnS'!$B:$B,"FY19-Q2",'Raw CSG Country SnS'!$D:$D,"Austria")))/(SUMIFS('Raw CSG Country SnS'!$H:$H,'Raw CSG Country SnS'!$B:$B,"FY19-Q2",'Raw CSG Country SnS'!$D:$D,"Austria")),"")</f>
        <v>-1.3043478260869565E-2</v>
      </c>
      <c r="I23" s="246">
        <f>SUMIFS('Raw CSG Country SnS'!$G:$G,'Raw CSG Country SnS'!$B:$B,"FY20-Q2",'Raw CSG Country SnS'!$D:$D,"Austria")</f>
        <v>11102</v>
      </c>
      <c r="J23" s="204">
        <f>IFERROR(((SUMIFS('Raw CSG Country SnS'!$G:$G,'Raw CSG Country SnS'!$B:$B,"FY20-Q2",'Raw CSG Country SnS'!$D:$D,"Austria")-SUMIFS('Raw CSG Country SnS'!$G:$G,'Raw CSG Country SnS'!$B:$B,"FY19-Q2",'Raw CSG Country SnS'!$D:$D,"Austria")))/(SUMIFS('Raw CSG Country SnS'!$G:$G,'Raw CSG Country SnS'!$B:$B,"FY19-Q2",'Raw CSG Country SnS'!$D:$D,"Austria")),"")</f>
        <v>0.16912384161752317</v>
      </c>
      <c r="K23" s="176">
        <v>255</v>
      </c>
      <c r="L23" s="56">
        <f>SUMIFS('Raw CSG Country SnS'!$H:$H,'Raw CSG Country SnS'!$B:$B,"FY20-Q3",'Raw CSG Country SnS'!$D:$D,"Austria")</f>
        <v>241</v>
      </c>
      <c r="M23" s="263">
        <f t="shared" si="0"/>
        <v>0.94509803921568625</v>
      </c>
      <c r="N23" s="265"/>
      <c r="O23" s="204">
        <f t="shared" si="1"/>
        <v>-5.4901960784313725E-2</v>
      </c>
      <c r="P23" s="255">
        <f t="shared" si="2"/>
        <v>11657.1</v>
      </c>
      <c r="Q23" s="246">
        <f>SUMIFS('Raw CSG Country SnS'!$G:$G,'Raw CSG Country SnS'!$B:$B,"FY20-Q3",'Raw CSG Country SnS'!$D:$D,"Austria")</f>
        <v>11141</v>
      </c>
      <c r="R23" s="263">
        <f t="shared" si="3"/>
        <v>0.95572655291624842</v>
      </c>
      <c r="S23" s="265"/>
      <c r="T23" s="204">
        <f t="shared" si="4"/>
        <v>-4.4273447083751562E-2</v>
      </c>
      <c r="U23" s="176">
        <v>255</v>
      </c>
      <c r="V23" s="199">
        <f>IFERROR(((U23-SUMIFS('Raw CSG Country SnS'!$H:$H,'Raw CSG Country SnS'!$B:$B,"FY19-Q4",'Raw CSG Country SnS'!$D:$D,"Austria")))/(SUMIFS('Raw CSG Country SnS'!$H:$H,'Raw CSG Country SnS'!$B:$B,"FY19-Q4",'Raw CSG Country SnS'!$D:$D,"Austria")),"")</f>
        <v>-4.8507462686567165E-2</v>
      </c>
      <c r="W23" s="240">
        <v>2900</v>
      </c>
      <c r="X23" s="203">
        <f>IFERROR(((W23-SUMIFS('Raw CSG Country SnS'!$G:$G,'Raw CSG Country SnS'!$B:$B,"FY19-Q4",'Raw CSG Country SnS'!$D:$D,"Austria")))/(SUMIFS('Raw CSG Country SnS'!$G:$G,'Raw CSG Country SnS'!$B:$B,"FY19-Q4",'Raw CSG Country SnS'!$D:$D,"Austria")),"")</f>
        <v>-0.74963308296641629</v>
      </c>
    </row>
    <row r="24" spans="1:24" ht="14.1" customHeight="1" thickBot="1" x14ac:dyDescent="0.3">
      <c r="A24" s="166" t="s">
        <v>18</v>
      </c>
      <c r="B24" s="336"/>
      <c r="C24" s="202">
        <f>SUMIFS('Raw CSG Country SnS'!$H:$H,'Raw CSG Country SnS'!$B:$B,"FY20-Q1",'Raw CSG Country SnS'!$D:$D,"Switzerland")</f>
        <v>459</v>
      </c>
      <c r="D24" s="204">
        <f>IFERROR(((SUMIFS('Raw CSG Country SnS'!$H:$H,'Raw CSG Country SnS'!$B:$B,"FY20-Q1",'Raw CSG Country SnS'!$D:$D,"Switzerland")-SUMIFS('Raw CSG Country SnS'!$H:$H,'Raw CSG Country SnS'!$B:$B,"FY19-Q1",'Raw CSG Country SnS'!$D:$D,"Switzerland")))/(SUMIFS('Raw CSG Country SnS'!$H:$H,'Raw CSG Country SnS'!$B:$B,"FY19-Q1",'Raw CSG Country SnS'!$D:$D,"Switzerland")),"")</f>
        <v>7.2429906542056069E-2</v>
      </c>
      <c r="E24" s="246">
        <f>SUMIFS('Raw CSG Country SnS'!$G:$G,'Raw CSG Country SnS'!$B:$B,"FY20-Q1",'Raw CSG Country SnS'!$D:$D,"Switzerland")</f>
        <v>9094</v>
      </c>
      <c r="F24" s="204">
        <f>IFERROR(((SUMIFS('Raw CSG Country SnS'!$G:$G,'Raw CSG Country SnS'!$B:$B,"FY20-Q1",'Raw CSG Country SnS'!$D:$D,"Switzerland")-SUMIFS('Raw CSG Country SnS'!$G:$G,'Raw CSG Country SnS'!$B:$B,"FY19-Q1",'Raw CSG Country SnS'!$D:$D,"Switzerland")))/(SUMIFS('Raw CSG Country SnS'!$G:$G,'Raw CSG Country SnS'!$B:$B,"FY19-Q1",'Raw CSG Country SnS'!$D:$D,"Switzerland")),"")</f>
        <v>-7.0523303352412095E-2</v>
      </c>
      <c r="G24" s="202">
        <f>SUMIFS('Raw CSG Country SnS'!$H:$H,'Raw CSG Country SnS'!$B:$B,"FY20-Q2",'Raw CSG Country SnS'!$D:$D,"Switzerland")</f>
        <v>425</v>
      </c>
      <c r="H24" s="199">
        <f>IFERROR(((SUMIFS('Raw CSG Country SnS'!$H:$H,'Raw CSG Country SnS'!$B:$B,"FY20-Q2",'Raw CSG Country SnS'!$D:$D,"Switzerland")-SUMIFS('Raw CSG Country SnS'!$H:$H,'Raw CSG Country SnS'!$B:$B,"FY19-Q2",'Raw CSG Country SnS'!$D:$D,"Switzerland")))/(SUMIFS('Raw CSG Country SnS'!$H:$H,'Raw CSG Country SnS'!$B:$B,"FY19-Q2",'Raw CSG Country SnS'!$D:$D,"Switzerland")),"")</f>
        <v>5.1980198019801978E-2</v>
      </c>
      <c r="I24" s="246">
        <f>SUMIFS('Raw CSG Country SnS'!$G:$G,'Raw CSG Country SnS'!$B:$B,"FY20-Q2",'Raw CSG Country SnS'!$D:$D,"Switzerland")</f>
        <v>10685</v>
      </c>
      <c r="J24" s="204">
        <f>IFERROR(((SUMIFS('Raw CSG Country SnS'!$G:$G,'Raw CSG Country SnS'!$B:$B,"FY20-Q2",'Raw CSG Country SnS'!$D:$D,"Switzerland")-SUMIFS('Raw CSG Country SnS'!$G:$G,'Raw CSG Country SnS'!$B:$B,"FY19-Q2",'Raw CSG Country SnS'!$D:$D,"Switzerland")))/(SUMIFS('Raw CSG Country SnS'!$G:$G,'Raw CSG Country SnS'!$B:$B,"FY19-Q2",'Raw CSG Country SnS'!$D:$D,"Switzerland")),"")</f>
        <v>0.28797010607521695</v>
      </c>
      <c r="K24" s="175">
        <v>580</v>
      </c>
      <c r="L24" s="56">
        <f>SUMIFS('Raw CSG Country SnS'!$H:$H,'Raw CSG Country SnS'!$B:$B,"FY20-Q3",'Raw CSG Country SnS'!$D:$D,"Switzerland")</f>
        <v>424</v>
      </c>
      <c r="M24" s="263">
        <f t="shared" si="0"/>
        <v>0.73103448275862071</v>
      </c>
      <c r="N24" s="265"/>
      <c r="O24" s="204">
        <f t="shared" si="1"/>
        <v>-0.26896551724137929</v>
      </c>
      <c r="P24" s="255">
        <f t="shared" si="2"/>
        <v>11219.25</v>
      </c>
      <c r="Q24" s="246">
        <f>SUMIFS('Raw CSG Country SnS'!$G:$G,'Raw CSG Country SnS'!$B:$B,"FY20-Q3",'Raw CSG Country SnS'!$D:$D,"Switzerland")</f>
        <v>9980</v>
      </c>
      <c r="R24" s="263">
        <f t="shared" si="3"/>
        <v>0.88954252735254136</v>
      </c>
      <c r="S24" s="265"/>
      <c r="T24" s="204">
        <f t="shared" si="4"/>
        <v>-0.11045747264745862</v>
      </c>
      <c r="U24" s="175">
        <v>670</v>
      </c>
      <c r="V24" s="199">
        <f>IFERROR(((U24-SUMIFS('Raw CSG Country SnS'!$H:$H,'Raw CSG Country SnS'!$B:$B,"FY19-Q4",'Raw CSG Country SnS'!$D:$D,"Switzerland")))/(SUMIFS('Raw CSG Country SnS'!$H:$H,'Raw CSG Country SnS'!$B:$B,"FY19-Q4",'Raw CSG Country SnS'!$D:$D,"Switzerland")),"")</f>
        <v>0.63017031630170317</v>
      </c>
      <c r="W24" s="239">
        <v>5900</v>
      </c>
      <c r="X24" s="203">
        <f>IFERROR(((W24-SUMIFS('Raw CSG Country SnS'!$G:$G,'Raw CSG Country SnS'!$B:$B,"FY19-Q4",'Raw CSG Country SnS'!$D:$D,"Switzerland")))/(SUMIFS('Raw CSG Country SnS'!$G:$G,'Raw CSG Country SnS'!$B:$B,"FY19-Q4",'Raw CSG Country SnS'!$D:$D,"Switzerland")),"")</f>
        <v>-0.2857142857142857</v>
      </c>
    </row>
    <row r="25" spans="1:24" ht="14.1" customHeight="1" thickBot="1" x14ac:dyDescent="0.3">
      <c r="A25" s="166" t="s">
        <v>19</v>
      </c>
      <c r="B25" s="336"/>
      <c r="C25" s="202">
        <f>SUMIFS('Raw CSG Country SnS'!$H:$H,'Raw CSG Country SnS'!$B:$B,"FY20-Q1",'Raw CSG Country SnS'!$D:$D,"Sweden")</f>
        <v>334</v>
      </c>
      <c r="D25" s="204">
        <f>IFERROR(((SUMIFS('Raw CSG Country SnS'!$H:$H,'Raw CSG Country SnS'!$B:$B,"FY20-Q1",'Raw CSG Country SnS'!$D:$D,"Sweden")-SUMIFS('Raw CSG Country SnS'!$H:$H,'Raw CSG Country SnS'!$B:$B,"FY19-Q1",'Raw CSG Country SnS'!$D:$D,"Sweden")))/(SUMIFS('Raw CSG Country SnS'!$H:$H,'Raw CSG Country SnS'!$B:$B,"FY19-Q1",'Raw CSG Country SnS'!$D:$D,"Sweden")),"")</f>
        <v>3.4055727554179564E-2</v>
      </c>
      <c r="E25" s="246">
        <f>SUMIFS('Raw CSG Country SnS'!$G:$G,'Raw CSG Country SnS'!$B:$B,"FY20-Q1",'Raw CSG Country SnS'!$D:$D,"Sweden")</f>
        <v>15138</v>
      </c>
      <c r="F25" s="204">
        <f>IFERROR(((SUMIFS('Raw CSG Country SnS'!$G:$G,'Raw CSG Country SnS'!$B:$B,"FY20-Q1",'Raw CSG Country SnS'!$D:$D,"Sweden")-SUMIFS('Raw CSG Country SnS'!$G:$G,'Raw CSG Country SnS'!$B:$B,"FY19-Q1",'Raw CSG Country SnS'!$D:$D,"Sweden")))/(SUMIFS('Raw CSG Country SnS'!$G:$G,'Raw CSG Country SnS'!$B:$B,"FY19-Q1",'Raw CSG Country SnS'!$D:$D,"Sweden")),"")</f>
        <v>-5.3874999999999999E-2</v>
      </c>
      <c r="G25" s="202">
        <f>SUMIFS('Raw CSG Country SnS'!$H:$H,'Raw CSG Country SnS'!$B:$B,"FY20-Q2",'Raw CSG Country SnS'!$D:$D,"Sweden")</f>
        <v>313</v>
      </c>
      <c r="H25" s="199">
        <f>IFERROR(((SUMIFS('Raw CSG Country SnS'!$H:$H,'Raw CSG Country SnS'!$B:$B,"FY20-Q2",'Raw CSG Country SnS'!$D:$D,"Sweden")-SUMIFS('Raw CSG Country SnS'!$H:$H,'Raw CSG Country SnS'!$B:$B,"FY19-Q2",'Raw CSG Country SnS'!$D:$D,"Sweden")))/(SUMIFS('Raw CSG Country SnS'!$H:$H,'Raw CSG Country SnS'!$B:$B,"FY19-Q2",'Raw CSG Country SnS'!$D:$D,"Sweden")),"")</f>
        <v>1.9543973941368076E-2</v>
      </c>
      <c r="I25" s="246">
        <f>SUMIFS('Raw CSG Country SnS'!$G:$G,'Raw CSG Country SnS'!$B:$B,"FY20-Q2",'Raw CSG Country SnS'!$D:$D,"Sweden")</f>
        <v>12293</v>
      </c>
      <c r="J25" s="204">
        <f>IFERROR(((SUMIFS('Raw CSG Country SnS'!$G:$G,'Raw CSG Country SnS'!$B:$B,"FY20-Q2",'Raw CSG Country SnS'!$D:$D,"Sweden")-SUMIFS('Raw CSG Country SnS'!$G:$G,'Raw CSG Country SnS'!$B:$B,"FY19-Q2",'Raw CSG Country SnS'!$D:$D,"Sweden")))/(SUMIFS('Raw CSG Country SnS'!$G:$G,'Raw CSG Country SnS'!$B:$B,"FY19-Q2",'Raw CSG Country SnS'!$D:$D,"Sweden")),"")</f>
        <v>1.9996681048788583E-2</v>
      </c>
      <c r="K25" s="176">
        <v>360</v>
      </c>
      <c r="L25" s="56">
        <f>SUMIFS('Raw CSG Country SnS'!$H:$H,'Raw CSG Country SnS'!$B:$B,"FY20-Q3",'Raw CSG Country SnS'!$D:$D,"Sweden")</f>
        <v>357</v>
      </c>
      <c r="M25" s="263">
        <f t="shared" si="0"/>
        <v>0.9916666666666667</v>
      </c>
      <c r="N25" s="265"/>
      <c r="O25" s="204">
        <f t="shared" si="1"/>
        <v>-8.3333333333333332E-3</v>
      </c>
      <c r="P25" s="255">
        <f t="shared" si="2"/>
        <v>12907.650000000001</v>
      </c>
      <c r="Q25" s="246">
        <f>SUMIFS('Raw CSG Country SnS'!$G:$G,'Raw CSG Country SnS'!$B:$B,"FY20-Q3",'Raw CSG Country SnS'!$D:$D,"Sweden")</f>
        <v>15029</v>
      </c>
      <c r="R25" s="263">
        <f t="shared" si="3"/>
        <v>1.1643482740855229</v>
      </c>
      <c r="S25" s="265"/>
      <c r="T25" s="204">
        <f t="shared" si="4"/>
        <v>0.1643482740855228</v>
      </c>
      <c r="U25" s="176">
        <v>360</v>
      </c>
      <c r="V25" s="199">
        <f>IFERROR(((U25-SUMIFS('Raw CSG Country SnS'!$H:$H,'Raw CSG Country SnS'!$B:$B,"FY19-Q4",'Raw CSG Country SnS'!$D:$D,"Sweden")))/(SUMIFS('Raw CSG Country SnS'!$H:$H,'Raw CSG Country SnS'!$B:$B,"FY19-Q4",'Raw CSG Country SnS'!$D:$D,"Sweden")),"")</f>
        <v>5.8823529411764705E-2</v>
      </c>
      <c r="W25" s="240">
        <v>7000</v>
      </c>
      <c r="X25" s="203">
        <f>IFERROR(((W25-SUMIFS('Raw CSG Country SnS'!$G:$G,'Raw CSG Country SnS'!$B:$B,"FY19-Q4",'Raw CSG Country SnS'!$D:$D,"Sweden")))/(SUMIFS('Raw CSG Country SnS'!$G:$G,'Raw CSG Country SnS'!$B:$B,"FY19-Q4",'Raw CSG Country SnS'!$D:$D,"Sweden")),"")</f>
        <v>-0.49730700179533216</v>
      </c>
    </row>
    <row r="26" spans="1:24" ht="14.1" customHeight="1" thickBot="1" x14ac:dyDescent="0.3">
      <c r="A26" s="166" t="s">
        <v>20</v>
      </c>
      <c r="B26" s="336"/>
      <c r="C26" s="202">
        <f>SUMIFS('Raw CSG Country SnS'!$H:$H,'Raw CSG Country SnS'!$B:$B,"FY20-Q1",'Raw CSG Country SnS'!$D:$D,"Denmark")</f>
        <v>119</v>
      </c>
      <c r="D26" s="204">
        <f>IFERROR(((SUMIFS('Raw CSG Country SnS'!$H:$H,'Raw CSG Country SnS'!$B:$B,"FY20-Q1",'Raw CSG Country SnS'!$D:$D,"Denmark")-SUMIFS('Raw CSG Country SnS'!$H:$H,'Raw CSG Country SnS'!$B:$B,"FY19-Q1",'Raw CSG Country SnS'!$D:$D,"Denmark")))/(SUMIFS('Raw CSG Country SnS'!$H:$H,'Raw CSG Country SnS'!$B:$B,"FY19-Q1",'Raw CSG Country SnS'!$D:$D,"Denmark")),"")</f>
        <v>-4.8000000000000001E-2</v>
      </c>
      <c r="E26" s="246">
        <f>SUMIFS('Raw CSG Country SnS'!$G:$G,'Raw CSG Country SnS'!$B:$B,"FY20-Q1",'Raw CSG Country SnS'!$D:$D,"Denmark")</f>
        <v>13583</v>
      </c>
      <c r="F26" s="204">
        <f>IFERROR(((SUMIFS('Raw CSG Country SnS'!$G:$G,'Raw CSG Country SnS'!$B:$B,"FY20-Q1",'Raw CSG Country SnS'!$D:$D,"Denmark")-SUMIFS('Raw CSG Country SnS'!$G:$G,'Raw CSG Country SnS'!$B:$B,"FY19-Q1",'Raw CSG Country SnS'!$D:$D,"Denmark")))/(SUMIFS('Raw CSG Country SnS'!$G:$G,'Raw CSG Country SnS'!$B:$B,"FY19-Q1",'Raw CSG Country SnS'!$D:$D,"Denmark")),"")</f>
        <v>-0.1659195578753454</v>
      </c>
      <c r="G26" s="202">
        <f>SUMIFS('Raw CSG Country SnS'!$H:$H,'Raw CSG Country SnS'!$B:$B,"FY20-Q2",'Raw CSG Country SnS'!$D:$D,"Denmark")</f>
        <v>101</v>
      </c>
      <c r="H26" s="199">
        <f>IFERROR(((SUMIFS('Raw CSG Country SnS'!$H:$H,'Raw CSG Country SnS'!$B:$B,"FY20-Q2",'Raw CSG Country SnS'!$D:$D,"Denmark")-SUMIFS('Raw CSG Country SnS'!$H:$H,'Raw CSG Country SnS'!$B:$B,"FY19-Q2",'Raw CSG Country SnS'!$D:$D,"Denmark")))/(SUMIFS('Raw CSG Country SnS'!$H:$H,'Raw CSG Country SnS'!$B:$B,"FY19-Q2",'Raw CSG Country SnS'!$D:$D,"Denmark")),"")</f>
        <v>-0.15126050420168066</v>
      </c>
      <c r="I26" s="246">
        <f>SUMIFS('Raw CSG Country SnS'!$G:$G,'Raw CSG Country SnS'!$B:$B,"FY20-Q2",'Raw CSG Country SnS'!$D:$D,"Denmark")</f>
        <v>11676</v>
      </c>
      <c r="J26" s="204">
        <f>IFERROR(((SUMIFS('Raw CSG Country SnS'!$G:$G,'Raw CSG Country SnS'!$B:$B,"FY20-Q2",'Raw CSG Country SnS'!$D:$D,"Denmark")-SUMIFS('Raw CSG Country SnS'!$G:$G,'Raw CSG Country SnS'!$B:$B,"FY19-Q2",'Raw CSG Country SnS'!$D:$D,"Denmark")))/(SUMIFS('Raw CSG Country SnS'!$G:$G,'Raw CSG Country SnS'!$B:$B,"FY19-Q2",'Raw CSG Country SnS'!$D:$D,"Denmark")),"")</f>
        <v>-7.9615323979189662E-2</v>
      </c>
      <c r="K26" s="175">
        <v>770</v>
      </c>
      <c r="L26" s="56">
        <f>SUMIFS('Raw CSG Country SnS'!$H:$H,'Raw CSG Country SnS'!$B:$B,"FY20-Q3",'Raw CSG Country SnS'!$D:$D,"Denmark")</f>
        <v>111</v>
      </c>
      <c r="M26" s="263">
        <f t="shared" si="0"/>
        <v>0.14415584415584415</v>
      </c>
      <c r="N26" s="265"/>
      <c r="O26" s="204">
        <f t="shared" si="1"/>
        <v>-0.85584415584415585</v>
      </c>
      <c r="P26" s="255">
        <f t="shared" si="2"/>
        <v>12259.800000000001</v>
      </c>
      <c r="Q26" s="246">
        <f>SUMIFS('Raw CSG Country SnS'!$G:$G,'Raw CSG Country SnS'!$B:$B,"FY20-Q3",'Raw CSG Country SnS'!$D:$D,"Denmark")</f>
        <v>15768</v>
      </c>
      <c r="R26" s="263">
        <f t="shared" si="3"/>
        <v>1.2861547496696519</v>
      </c>
      <c r="S26" s="265"/>
      <c r="T26" s="204">
        <f t="shared" si="4"/>
        <v>0.28615474966965193</v>
      </c>
      <c r="U26" s="175">
        <v>905</v>
      </c>
      <c r="V26" s="199">
        <f>IFERROR(((U26-SUMIFS('Raw CSG Country SnS'!$H:$H,'Raw CSG Country SnS'!$B:$B,"FY19-Q4",'Raw CSG Country SnS'!$D:$D,"Denmark")))/(SUMIFS('Raw CSG Country SnS'!$H:$H,'Raw CSG Country SnS'!$B:$B,"FY19-Q4",'Raw CSG Country SnS'!$D:$D,"Denmark")),"")</f>
        <v>6.9385964912280702</v>
      </c>
      <c r="W26" s="239">
        <v>9800</v>
      </c>
      <c r="X26" s="203">
        <f>IFERROR(((W26-SUMIFS('Raw CSG Country SnS'!$G:$G,'Raw CSG Country SnS'!$B:$B,"FY19-Q4",'Raw CSG Country SnS'!$D:$D,"Denmark")))/(SUMIFS('Raw CSG Country SnS'!$G:$G,'Raw CSG Country SnS'!$B:$B,"FY19-Q4",'Raw CSG Country SnS'!$D:$D,"Denmark")),"")</f>
        <v>-0.43036503138804927</v>
      </c>
    </row>
    <row r="27" spans="1:24" ht="14.1" customHeight="1" thickBot="1" x14ac:dyDescent="0.3">
      <c r="A27" s="166" t="s">
        <v>56</v>
      </c>
      <c r="B27" s="336"/>
      <c r="C27" s="202">
        <f>SUMIFS('Raw CSG Country SnS'!$H:$H,'Raw CSG Country SnS'!$B:$B,"FY20-Q1",'Raw CSG Country SnS'!$D:$D,"Norway")</f>
        <v>138</v>
      </c>
      <c r="D27" s="204">
        <f>IFERROR(((SUMIFS('Raw CSG Country SnS'!$H:$H,'Raw CSG Country SnS'!$B:$B,"FY20-Q1",'Raw CSG Country SnS'!$D:$D,"Norway")-SUMIFS('Raw CSG Country SnS'!$H:$H,'Raw CSG Country SnS'!$B:$B,"FY19-Q1",'Raw CSG Country SnS'!$D:$D,"Norway")))/(SUMIFS('Raw CSG Country SnS'!$H:$H,'Raw CSG Country SnS'!$B:$B,"FY19-Q1",'Raw CSG Country SnS'!$D:$D,"Norway")),"")</f>
        <v>-2.1276595744680851E-2</v>
      </c>
      <c r="E27" s="246">
        <f>SUMIFS('Raw CSG Country SnS'!$G:$G,'Raw CSG Country SnS'!$B:$B,"FY20-Q1",'Raw CSG Country SnS'!$D:$D,"Norway")</f>
        <v>11208</v>
      </c>
      <c r="F27" s="204">
        <f>IFERROR(((SUMIFS('Raw CSG Country SnS'!$G:$G,'Raw CSG Country SnS'!$B:$B,"FY20-Q1",'Raw CSG Country SnS'!$D:$D,"Norway")-SUMIFS('Raw CSG Country SnS'!$G:$G,'Raw CSG Country SnS'!$B:$B,"FY19-Q1",'Raw CSG Country SnS'!$D:$D,"Norway")))/(SUMIFS('Raw CSG Country SnS'!$G:$G,'Raw CSG Country SnS'!$B:$B,"FY19-Q1",'Raw CSG Country SnS'!$D:$D,"Norway")),"")</f>
        <v>0.25453324378777703</v>
      </c>
      <c r="G27" s="202">
        <f>SUMIFS('Raw CSG Country SnS'!$H:$H,'Raw CSG Country SnS'!$B:$B,"FY20-Q2",'Raw CSG Country SnS'!$D:$D,"Norway")</f>
        <v>134</v>
      </c>
      <c r="H27" s="199">
        <f>IFERROR(((SUMIFS('Raw CSG Country SnS'!$H:$H,'Raw CSG Country SnS'!$B:$B,"FY20-Q2",'Raw CSG Country SnS'!$D:$D,"Norway")-SUMIFS('Raw CSG Country SnS'!$H:$H,'Raw CSG Country SnS'!$B:$B,"FY19-Q2",'Raw CSG Country SnS'!$D:$D,"Norway")))/(SUMIFS('Raw CSG Country SnS'!$H:$H,'Raw CSG Country SnS'!$B:$B,"FY19-Q2",'Raw CSG Country SnS'!$D:$D,"Norway")),"")</f>
        <v>-4.2857142857142858E-2</v>
      </c>
      <c r="I27" s="246">
        <f>SUMIFS('Raw CSG Country SnS'!$G:$G,'Raw CSG Country SnS'!$B:$B,"FY20-Q2",'Raw CSG Country SnS'!$D:$D,"Norway")</f>
        <v>10803</v>
      </c>
      <c r="J27" s="204">
        <f>IFERROR(((SUMIFS('Raw CSG Country SnS'!$G:$G,'Raw CSG Country SnS'!$B:$B,"FY20-Q2",'Raw CSG Country SnS'!$D:$D,"Norway")-SUMIFS('Raw CSG Country SnS'!$G:$G,'Raw CSG Country SnS'!$B:$B,"FY19-Q2",'Raw CSG Country SnS'!$D:$D,"Norway")))/(SUMIFS('Raw CSG Country SnS'!$G:$G,'Raw CSG Country SnS'!$B:$B,"FY19-Q2",'Raw CSG Country SnS'!$D:$D,"Norway")),"")</f>
        <v>0.15023424190800683</v>
      </c>
      <c r="K27" s="177">
        <v>175</v>
      </c>
      <c r="L27" s="56">
        <f>SUMIFS('Raw CSG Country SnS'!$H:$H,'Raw CSG Country SnS'!$B:$B,"FY20-Q3",'Raw CSG Country SnS'!$D:$D,"Norway")</f>
        <v>141</v>
      </c>
      <c r="M27" s="263">
        <f t="shared" si="0"/>
        <v>0.80571428571428572</v>
      </c>
      <c r="N27" s="265"/>
      <c r="O27" s="204">
        <f t="shared" si="1"/>
        <v>-0.19428571428571428</v>
      </c>
      <c r="P27" s="255">
        <f t="shared" si="2"/>
        <v>11343.15</v>
      </c>
      <c r="Q27" s="246">
        <f>SUMIFS('Raw CSG Country SnS'!$G:$G,'Raw CSG Country SnS'!$B:$B,"FY20-Q3",'Raw CSG Country SnS'!$D:$D,"Norway")</f>
        <v>11798</v>
      </c>
      <c r="R27" s="263">
        <f t="shared" si="3"/>
        <v>1.0400990906406069</v>
      </c>
      <c r="S27" s="265"/>
      <c r="T27" s="204">
        <f t="shared" si="4"/>
        <v>4.0099090640606919E-2</v>
      </c>
      <c r="U27" s="177">
        <v>210</v>
      </c>
      <c r="V27" s="199">
        <f>IFERROR(((U27-SUMIFS('Raw CSG Country SnS'!$H:$H,'Raw CSG Country SnS'!$B:$B,"FY19-Q4",'Raw CSG Country SnS'!$D:$D,"Norway")))/(SUMIFS('Raw CSG Country SnS'!$H:$H,'Raw CSG Country SnS'!$B:$B,"FY19-Q4",'Raw CSG Country SnS'!$D:$D,"Norway")),"")</f>
        <v>0.52173913043478259</v>
      </c>
      <c r="W27" s="241">
        <v>2600</v>
      </c>
      <c r="X27" s="203">
        <f>IFERROR(((W27-SUMIFS('Raw CSG Country SnS'!$G:$G,'Raw CSG Country SnS'!$B:$B,"FY19-Q4",'Raw CSG Country SnS'!$D:$D,"Norway")))/(SUMIFS('Raw CSG Country SnS'!$G:$G,'Raw CSG Country SnS'!$B:$B,"FY19-Q4",'Raw CSG Country SnS'!$D:$D,"Norway")),"")</f>
        <v>-0.73561114500711822</v>
      </c>
    </row>
    <row r="28" spans="1:24" ht="16.5" customHeight="1" thickBot="1" x14ac:dyDescent="0.3">
      <c r="A28" s="167" t="s">
        <v>57</v>
      </c>
      <c r="B28" s="337"/>
      <c r="C28" s="219">
        <f>SUMIFS('Raw CSG Country SnS'!$H:$H,'Raw CSG Country SnS'!$B:$B,"FY20-Q1",'Raw CSG Country SnS'!$D:$D,"Finland")</f>
        <v>186</v>
      </c>
      <c r="D28" s="220">
        <f>IFERROR(((SUMIFS('Raw CSG Country SnS'!$H:$H,'Raw CSG Country SnS'!$B:$B,"FY20-Q1",'Raw CSG Country SnS'!$D:$D,"Finland")-SUMIFS('Raw CSG Country SnS'!$H:$H,'Raw CSG Country SnS'!$B:$B,"FY19-Q1",'Raw CSG Country SnS'!$D:$D,"Finland")))/(SUMIFS('Raw CSG Country SnS'!$H:$H,'Raw CSG Country SnS'!$B:$B,"FY19-Q1",'Raw CSG Country SnS'!$D:$D,"Finland")),"")</f>
        <v>0.10059171597633136</v>
      </c>
      <c r="E28" s="252">
        <f>SUMIFS('Raw CSG Country SnS'!$G:$G,'Raw CSG Country SnS'!$B:$B,"FY20-Q1",'Raw CSG Country SnS'!$D:$D,"Finland")</f>
        <v>13541</v>
      </c>
      <c r="F28" s="220">
        <f>IFERROR(((SUMIFS('Raw CSG Country SnS'!$G:$G,'Raw CSG Country SnS'!$B:$B,"FY20-Q1",'Raw CSG Country SnS'!$D:$D,"Finland")-SUMIFS('Raw CSG Country SnS'!$G:$G,'Raw CSG Country SnS'!$B:$B,"FY19-Q1",'Raw CSG Country SnS'!$D:$D,"Finland")))/(SUMIFS('Raw CSG Country SnS'!$G:$G,'Raw CSG Country SnS'!$B:$B,"FY19-Q1",'Raw CSG Country SnS'!$D:$D,"Finland")),"")</f>
        <v>-0.10773589878755931</v>
      </c>
      <c r="G28" s="219">
        <f>SUMIFS('Raw CSG Country SnS'!$H:$H,'Raw CSG Country SnS'!$B:$B,"FY20-Q2",'Raw CSG Country SnS'!$D:$D,"Finland")</f>
        <v>174</v>
      </c>
      <c r="H28" s="221">
        <f>IFERROR(((SUMIFS('Raw CSG Country SnS'!$H:$H,'Raw CSG Country SnS'!$B:$B,"FY20-Q2",'Raw CSG Country SnS'!$D:$D,"Finland")-SUMIFS('Raw CSG Country SnS'!$H:$H,'Raw CSG Country SnS'!$B:$B,"FY19-Q2",'Raw CSG Country SnS'!$D:$D,"Finland")))/(SUMIFS('Raw CSG Country SnS'!$H:$H,'Raw CSG Country SnS'!$B:$B,"FY19-Q2",'Raw CSG Country SnS'!$D:$D,"Finland")),"")</f>
        <v>1.1627906976744186E-2</v>
      </c>
      <c r="I28" s="252">
        <f>SUMIFS('Raw CSG Country SnS'!$G:$G,'Raw CSG Country SnS'!$B:$B,"FY20-Q2",'Raw CSG Country SnS'!$D:$D,"Finland")</f>
        <v>11101</v>
      </c>
      <c r="J28" s="220">
        <f>IFERROR(((SUMIFS('Raw CSG Country SnS'!$G:$G,'Raw CSG Country SnS'!$B:$B,"FY20-Q2",'Raw CSG Country SnS'!$D:$D,"Finland")-SUMIFS('Raw CSG Country SnS'!$G:$G,'Raw CSG Country SnS'!$B:$B,"FY19-Q2",'Raw CSG Country SnS'!$D:$D,"Finland")))/(SUMIFS('Raw CSG Country SnS'!$G:$G,'Raw CSG Country SnS'!$B:$B,"FY19-Q2",'Raw CSG Country SnS'!$D:$D,"Finland")),"")</f>
        <v>-0.14528795811518325</v>
      </c>
      <c r="K28" s="178">
        <v>208</v>
      </c>
      <c r="L28" s="89">
        <f>SUMIFS('Raw CSG Country SnS'!$H:$H,'Raw CSG Country SnS'!$B:$B,"FY20-Q3",'Raw CSG Country SnS'!$D:$D,"Finland")</f>
        <v>205</v>
      </c>
      <c r="M28" s="263">
        <f t="shared" si="0"/>
        <v>0.98557692307692313</v>
      </c>
      <c r="N28" s="266"/>
      <c r="O28" s="220">
        <f t="shared" si="1"/>
        <v>-1.4423076923076924E-2</v>
      </c>
      <c r="P28" s="261">
        <f t="shared" si="2"/>
        <v>11656.050000000001</v>
      </c>
      <c r="Q28" s="252">
        <f>SUMIFS('Raw CSG Country SnS'!$G:$G,'Raw CSG Country SnS'!$B:$B,"FY20-Q3",'Raw CSG Country SnS'!$D:$D,"Finland")</f>
        <v>12657</v>
      </c>
      <c r="R28" s="263">
        <f t="shared" si="3"/>
        <v>1.0858738594978572</v>
      </c>
      <c r="S28" s="266"/>
      <c r="T28" s="220">
        <f t="shared" si="4"/>
        <v>8.5873859497857238E-2</v>
      </c>
      <c r="U28" s="178">
        <v>225</v>
      </c>
      <c r="V28" s="221">
        <f>IFERROR(((U28-SUMIFS('Raw CSG Country SnS'!$H:$H,'Raw CSG Country SnS'!$B:$B,"FY19-Q4",'Raw CSG Country SnS'!$D:$D,"Finland")))/(SUMIFS('Raw CSG Country SnS'!$H:$H,'Raw CSG Country SnS'!$B:$B,"FY19-Q4",'Raw CSG Country SnS'!$D:$D,"Finland")),"")</f>
        <v>0.14213197969543148</v>
      </c>
      <c r="W28" s="242">
        <v>3100</v>
      </c>
      <c r="X28" s="222">
        <f>IFERROR(((W28-SUMIFS('Raw CSG Country SnS'!$G:$G,'Raw CSG Country SnS'!$B:$B,"FY19-Q4",'Raw CSG Country SnS'!$D:$D,"Finland")))/(SUMIFS('Raw CSG Country SnS'!$G:$G,'Raw CSG Country SnS'!$B:$B,"FY19-Q4",'Raw CSG Country SnS'!$D:$D,"Finland")),"")</f>
        <v>-0.73782138024357236</v>
      </c>
    </row>
    <row r="29" spans="1:24" ht="30" customHeight="1" thickBot="1" x14ac:dyDescent="0.3">
      <c r="A29" s="160" t="s">
        <v>46</v>
      </c>
      <c r="B29" s="187" t="s">
        <v>49</v>
      </c>
      <c r="C29" s="170">
        <f>SUMIFS('Raw Commercial Region SnS+B2B'!$H:$H,'Raw Commercial Region SnS+B2B'!$B:$B,"FY20-Q1",'Raw Commercial Region SnS+B2B'!$C:$C,"META")</f>
        <v>2039</v>
      </c>
      <c r="D29" s="216">
        <f>IFERROR(((SUMIFS('Raw Commercial Region SnS+B2B'!$H:$H,'Raw Commercial Region SnS+B2B'!$B:$B,"FY20-Q1",'Raw Commercial Region SnS+B2B'!$C:$C,"META")-SUMIFS('Raw Commercial Region SnS+B2B'!$H:$H,'Raw Commercial Region SnS+B2B'!$B:$B,"FY19-Q1",'Raw Commercial Region SnS+B2B'!$C:$C,"META")))/(SUMIFS('Raw Commercial Region SnS+B2B'!$H:$H,'Raw Commercial Region SnS+B2B'!$B:$B,"FY19-Q1",'Raw Commercial Region SnS+B2B'!$C:$C,"META")),"")</f>
        <v>3.292806484295846E-2</v>
      </c>
      <c r="E29" s="250">
        <f>SUMIFS('Raw Commercial Region SnS+B2B'!$G:$G,'Raw Commercial Region SnS+B2B'!$B:$B,"FY20-Q1",'Raw Commercial Region SnS+B2B'!$C:$C,"META")</f>
        <v>37666</v>
      </c>
      <c r="F29" s="216">
        <f>IFERROR(((SUMIFS('Raw Commercial Region SnS+B2B'!$G:$G,'Raw Commercial Region SnS+B2B'!$B:$B,"FY20-Q1",'Raw Commercial Region SnS+B2B'!$C:$C,"META")-SUMIFS('Raw Commercial Region SnS+B2B'!$G:$G,'Raw Commercial Region SnS+B2B'!$B:$B,"FY19-Q1",'Raw Commercial Region SnS+B2B'!$C:$C,"META")))/(SUMIFS('Raw Commercial Region SnS+B2B'!$G:$G,'Raw Commercial Region SnS+B2B'!$B:$B,"FY19-Q1",'Raw Commercial Region SnS+B2B'!$C:$C,"META")),"")</f>
        <v>5.2576796818703461E-3</v>
      </c>
      <c r="G29" s="170">
        <f>SUMIFS('Raw Commercial Region SnS+B2B'!$H:$H,'Raw Commercial Region SnS+B2B'!$B:$B,"FY20-Q2",'Raw Commercial Region SnS+B2B'!$C:$C,"META")</f>
        <v>1933</v>
      </c>
      <c r="H29" s="217">
        <f>IFERROR(((SUMIFS('Raw Commercial Region SnS+B2B'!$H:$H,'Raw Commercial Region SnS+B2B'!$B:$B,"FY20-Q2",'Raw Commercial Region SnS+B2B'!$C:$C,"META")-SUMIFS('Raw Commercial Region SnS+B2B'!$H:$H,'Raw Commercial Region SnS+B2B'!$B:$B,"FY19-Q2",'Raw Commercial Region SnS+B2B'!$C:$C,"META")))/(SUMIFS('Raw Commercial Region SnS+B2B'!$H:$H,'Raw Commercial Region SnS+B2B'!$B:$B,"FY19-Q2",'Raw Commercial Region SnS+B2B'!$C:$C,"META")),"")</f>
        <v>3.4242910647405027E-2</v>
      </c>
      <c r="I29" s="250">
        <f>SUMIFS('Raw Commercial Region SnS+B2B'!$G:$G,'Raw Commercial Region SnS+B2B'!$B:$B,"FY20-Q2",'Raw Commercial Region SnS+B2B'!$C:$C,"META")</f>
        <v>36869</v>
      </c>
      <c r="J29" s="216">
        <f>IFERROR(((SUMIFS('Raw Commercial Region SnS+B2B'!$G:$G,'Raw Commercial Region SnS+B2B'!$B:$B,"FY20-Q2",'Raw Commercial Region SnS+B2B'!$C:$C,"META")-SUMIFS('Raw Commercial Region SnS+B2B'!$G:$G,'Raw Commercial Region SnS+B2B'!$B:$B,"FY19-Q2",'Raw Commercial Region SnS+B2B'!$C:$C,"META")))/(SUMIFS('Raw Commercial Region SnS+B2B'!$G:$G,'Raw Commercial Region SnS+B2B'!$B:$B,"FY19-Q2",'Raw Commercial Region SnS+B2B'!$C:$C,"META")),"")</f>
        <v>6.7923763179237637E-2</v>
      </c>
      <c r="K29" s="180">
        <v>1836</v>
      </c>
      <c r="L29" s="215">
        <f>SUMIFS('Raw Commercial Region SnS+B2B'!$H:$H,'Raw Commercial Region SnS+B2B'!$B:$B,"FY20-Q3",'Raw Commercial Region SnS+B2B'!$C:$C,"META")</f>
        <v>1866</v>
      </c>
      <c r="M29" s="263">
        <f t="shared" si="0"/>
        <v>1.0163398692810457</v>
      </c>
      <c r="N29" s="267"/>
      <c r="O29" s="216">
        <f t="shared" si="1"/>
        <v>1.6339869281045753E-2</v>
      </c>
      <c r="P29" s="259">
        <f t="shared" si="2"/>
        <v>38712.450000000004</v>
      </c>
      <c r="Q29" s="250">
        <f>SUMIFS('Raw Commercial Region SnS+B2B'!$G:$G,'Raw Commercial Region SnS+B2B'!$B:$B,"FY20-Q3",'Raw Commercial Region SnS+B2B'!$C:$C,"META")</f>
        <v>38913</v>
      </c>
      <c r="R29" s="263">
        <f t="shared" si="3"/>
        <v>1.0051805039464048</v>
      </c>
      <c r="S29" s="267"/>
      <c r="T29" s="216">
        <f t="shared" si="4"/>
        <v>5.1805039464047258E-3</v>
      </c>
      <c r="U29" s="179">
        <v>1958</v>
      </c>
      <c r="V29" s="217">
        <f>IFERROR(((U29-SUMIFS('Raw Commercial Region SnS+B2B'!$H:$H,'Raw Commercial Region SnS+B2B'!$B:$B,"FY19-Q4",'Raw Commercial Region SnS+B2B'!$C:$C,"META")))/(SUMIFS('Raw Commercial Region SnS+B2B'!$H:$H,'Raw Commercial Region SnS+B2B'!$B:$B,"FY19-Q4",'Raw Commercial Region SnS+B2B'!$C:$C,"META")),"")</f>
        <v>2.1920668058455117E-2</v>
      </c>
      <c r="W29" s="243">
        <v>21269</v>
      </c>
      <c r="X29" s="218">
        <f>IFERROR(((W29-SUMIFS('Raw Commercial Region SnS+B2B'!$G:$G,'Raw Commercial Region SnS+B2B'!$B:$B,"FY19-Q4",'Raw Commercial Region SnS+B2B'!$C:$C,"META")))/(SUMIFS('Raw Commercial Region SnS+B2B'!$G:$G,'Raw Commercial Region SnS+B2B'!$B:$B,"FY19-Q4",'Raw Commercial Region SnS+B2B'!$C:$C,"META")),"")</f>
        <v>-0.41255592995636081</v>
      </c>
    </row>
    <row r="30" spans="1:24" ht="30" customHeight="1" thickBot="1" x14ac:dyDescent="0.3">
      <c r="A30" s="160" t="s">
        <v>52</v>
      </c>
      <c r="B30" s="187" t="s">
        <v>49</v>
      </c>
      <c r="C30" s="170">
        <f>SUMIFS('Raw Commercial Region SnS+B2B'!$H:$H,'Raw Commercial Region SnS+B2B'!$B:$B,"FY20-Q1",'Raw Commercial Region SnS+B2B'!$C:$C,"CEE")</f>
        <v>3096</v>
      </c>
      <c r="D30" s="216">
        <f>IFERROR(((SUMIFS('Raw Commercial Region SnS+B2B'!$H:$H,'Raw Commercial Region SnS+B2B'!$B:$B,"FY20-Q1",'Raw Commercial Region SnS+B2B'!$C:$C,"CEE")-SUMIFS('Raw Commercial Region SnS+B2B'!$H:$H,'Raw Commercial Region SnS+B2B'!$B:$B,"FY19-Q1",'Raw Commercial Region SnS+B2B'!$C:$C,"CEE")))/(SUMIFS('Raw Commercial Region SnS+B2B'!$H:$H,'Raw Commercial Region SnS+B2B'!$B:$B,"FY19-Q1",'Raw Commercial Region SnS+B2B'!$C:$C,"CEE")),"")</f>
        <v>0.22178374112075769</v>
      </c>
      <c r="E30" s="250">
        <f>SUMIFS('Raw Commercial Region SnS+B2B'!$G:$G,'Raw Commercial Region SnS+B2B'!$B:$B,"FY20-Q1",'Raw Commercial Region SnS+B2B'!$C:$C,"CEE")</f>
        <v>12820</v>
      </c>
      <c r="F30" s="216">
        <f>IFERROR(((SUMIFS('Raw Commercial Region SnS+B2B'!$G:$G,'Raw Commercial Region SnS+B2B'!$B:$B,"FY20-Q1",'Raw Commercial Region SnS+B2B'!$C:$C,"CEE")-SUMIFS('Raw Commercial Region SnS+B2B'!$G:$G,'Raw Commercial Region SnS+B2B'!$B:$B,"FY19-Q1",'Raw Commercial Region SnS+B2B'!$C:$C,"CEE")))/(SUMIFS('Raw Commercial Region SnS+B2B'!$G:$G,'Raw Commercial Region SnS+B2B'!$B:$B,"FY19-Q1",'Raw Commercial Region SnS+B2B'!$C:$C,"CEE")),"")</f>
        <v>7.0742503967259673E-2</v>
      </c>
      <c r="G30" s="170">
        <f>SUMIFS('Raw Commercial Region SnS+B2B'!$H:$H,'Raw Commercial Region SnS+B2B'!$B:$B,"FY20-Q2",'Raw Commercial Region SnS+B2B'!$C:$C,"CEE")</f>
        <v>3108</v>
      </c>
      <c r="H30" s="217">
        <f>IFERROR(((SUMIFS('Raw Commercial Region SnS+B2B'!$H:$H,'Raw Commercial Region SnS+B2B'!$B:$B,"FY20-Q2",'Raw Commercial Region SnS+B2B'!$C:$C,"CEE")-SUMIFS('Raw Commercial Region SnS+B2B'!$H:$H,'Raw Commercial Region SnS+B2B'!$B:$B,"FY19-Q2",'Raw Commercial Region SnS+B2B'!$C:$C,"CEE")))/(SUMIFS('Raw Commercial Region SnS+B2B'!$H:$H,'Raw Commercial Region SnS+B2B'!$B:$B,"FY19-Q2",'Raw Commercial Region SnS+B2B'!$C:$C,"CEE")),"")</f>
        <v>0.14940828402366865</v>
      </c>
      <c r="I30" s="250">
        <f>SUMIFS('Raw Commercial Region SnS+B2B'!$G:$G,'Raw Commercial Region SnS+B2B'!$B:$B,"FY20-Q2",'Raw Commercial Region SnS+B2B'!$C:$C,"CEE")</f>
        <v>12368</v>
      </c>
      <c r="J30" s="216">
        <f>IFERROR(((SUMIFS('Raw Commercial Region SnS+B2B'!$G:$G,'Raw Commercial Region SnS+B2B'!$B:$B,"FY20-Q2",'Raw Commercial Region SnS+B2B'!$C:$C,"CEE")-SUMIFS('Raw Commercial Region SnS+B2B'!$G:$G,'Raw Commercial Region SnS+B2B'!$B:$B,"FY19-Q2",'Raw Commercial Region SnS+B2B'!$C:$C,"CEE")))/(SUMIFS('Raw Commercial Region SnS+B2B'!$G:$G,'Raw Commercial Region SnS+B2B'!$B:$B,"FY19-Q2",'Raw Commercial Region SnS+B2B'!$C:$C,"CEE")),"")</f>
        <v>-3.803375593062145E-2</v>
      </c>
      <c r="K30" s="180">
        <v>4816</v>
      </c>
      <c r="L30" s="215">
        <f>SUMIFS('Raw Commercial Region SnS+B2B'!$H:$H,'Raw Commercial Region SnS+B2B'!$B:$B,"FY20-Q3",'Raw Commercial Region SnS+B2B'!$C:$C,"CEE")</f>
        <v>3371</v>
      </c>
      <c r="M30" s="263">
        <f t="shared" si="0"/>
        <v>0.6999584717607974</v>
      </c>
      <c r="N30" s="267"/>
      <c r="O30" s="216">
        <f t="shared" si="1"/>
        <v>-0.30004152823920266</v>
      </c>
      <c r="P30" s="259">
        <f t="shared" si="2"/>
        <v>12986.400000000001</v>
      </c>
      <c r="Q30" s="250">
        <f>SUMIFS('Raw Commercial Region SnS+B2B'!$G:$G,'Raw Commercial Region SnS+B2B'!$B:$B,"FY20-Q3",'Raw Commercial Region SnS+B2B'!$C:$C,"CEE")</f>
        <v>12027</v>
      </c>
      <c r="R30" s="263">
        <f t="shared" si="3"/>
        <v>0.92612271299205318</v>
      </c>
      <c r="S30" s="267"/>
      <c r="T30" s="216">
        <f t="shared" si="4"/>
        <v>-7.3877287007946879E-2</v>
      </c>
      <c r="U30" s="179">
        <v>4626</v>
      </c>
      <c r="V30" s="217">
        <f>IFERROR(((U30-SUMIFS('Raw Commercial Region SnS+B2B'!$H:$H,'Raw Commercial Region SnS+B2B'!$B:$B,"FY19-Q4",'Raw Commercial Region SnS+B2B'!$C:$C,"CEE")))/(SUMIFS('Raw Commercial Region SnS+B2B'!$H:$H,'Raw Commercial Region SnS+B2B'!$B:$B,"FY19-Q4",'Raw Commercial Region SnS+B2B'!$C:$C,"CEE")),"")</f>
        <v>0.37310774710596617</v>
      </c>
      <c r="W30" s="243">
        <v>10056</v>
      </c>
      <c r="X30" s="216">
        <f>IFERROR(((W30-SUMIFS('Raw Commercial Region SnS+B2B'!$G:$G,'Raw Commercial Region SnS+B2B'!$B:$B,"FY19-Q4",'Raw Commercial Region SnS+B2B'!$C:$C,"CEE")))/(SUMIFS('Raw Commercial Region SnS+B2B'!$G:$G,'Raw Commercial Region SnS+B2B'!$B:$B,"FY19-Q4",'Raw Commercial Region SnS+B2B'!$C:$C,"CEE")),"")</f>
        <v>-0.3727544910179641</v>
      </c>
    </row>
    <row r="31" spans="1:24" ht="25.5" customHeight="1" thickBot="1" x14ac:dyDescent="0.3">
      <c r="A31" s="165" t="s">
        <v>55</v>
      </c>
      <c r="B31" s="332" t="s">
        <v>50</v>
      </c>
      <c r="C31" s="163">
        <f>SUMIFS('Raw CSG Country SnS'!$H:$H,'Raw CSG Country SnS'!$B:$B,"FY20-Q1",'Raw CSG Country SnS'!$C:$C,"ITALY")</f>
        <v>2791</v>
      </c>
      <c r="D31" s="208">
        <f>IFERROR(((SUMIFS('Raw CSG Country SnS'!$H:$H,'Raw CSG Country SnS'!$B:$B,"FY20-Q1",'Raw CSG Country SnS'!$C:$C,"ITALY")-SUMIFS('Raw CSG Country SnS'!$H:$H,'Raw CSG Country SnS'!$B:$B,"FY19-Q1",'Raw CSG Country SnS'!$C:$C,"ITALY")))/(SUMIFS('Raw CSG Country SnS'!$H:$H,'Raw CSG Country SnS'!$B:$B,"FY19-Q1",'Raw CSG Country SnS'!$C:$C,"ITALY")),"")</f>
        <v>0.1213338690237043</v>
      </c>
      <c r="E31" s="245">
        <f>SUMIFS('Raw CSG Country SnS'!$G:$G,'Raw CSG Country SnS'!$B:$B,"FY20-Q1",'Raw CSG Country SnS'!$C:$C,"ITALY")</f>
        <v>9161</v>
      </c>
      <c r="F31" s="208">
        <f>IFERROR(((SUMIFS('Raw CSG Country SnS'!$G:$G,'Raw CSG Country SnS'!$B:$B,"FY20-Q1",'Raw CSG Country SnS'!$C:$C,"ITALY")-SUMIFS('Raw CSG Country SnS'!$G:$G,'Raw CSG Country SnS'!$B:$B,"FY19-Q1",'Raw CSG Country SnS'!$C:$C,"ITALY")))/(SUMIFS('Raw CSG Country SnS'!$G:$G,'Raw CSG Country SnS'!$B:$B,"FY19-Q1",'Raw CSG Country SnS'!$C:$C,"ITALY")),"")</f>
        <v>2.5169621361348215E-3</v>
      </c>
      <c r="G31" s="163">
        <f>SUMIFS('Raw CSG Country SnS'!$H:$H,'Raw CSG Country SnS'!$B:$B,"FY20-Q2",'Raw CSG Country SnS'!$C:$C,"ITALY")</f>
        <v>2737</v>
      </c>
      <c r="H31" s="200">
        <f>IFERROR(((SUMIFS('Raw CSG Country SnS'!$H:$H,'Raw CSG Country SnS'!$B:$B,"FY20-Q2",'Raw CSG Country SnS'!$C:$C,"ITALY")-SUMIFS('Raw CSG Country SnS'!$H:$H,'Raw CSG Country SnS'!$B:$B,"FY19-Q2",'Raw CSG Country SnS'!$C:$C,"ITALY")))/(SUMIFS('Raw CSG Country SnS'!$H:$H,'Raw CSG Country SnS'!$B:$B,"FY19-Q2",'Raw CSG Country SnS'!$C:$C,"ITALY")),"")</f>
        <v>3.9893617021276598E-2</v>
      </c>
      <c r="I31" s="245">
        <f>SUMIFS('Raw CSG Country SnS'!$G:$G,'Raw CSG Country SnS'!$B:$B,"FY20-Q2",'Raw CSG Country SnS'!$C:$C,"ITALY")</f>
        <v>8240</v>
      </c>
      <c r="J31" s="208">
        <f>IFERROR(((SUMIFS('Raw CSG Country SnS'!$G:$G,'Raw CSG Country SnS'!$B:$B,"FY20-Q2",'Raw CSG Country SnS'!$C:$C,"ITALY")-SUMIFS('Raw CSG Country SnS'!$G:$G,'Raw CSG Country SnS'!$B:$B,"FY19-Q2",'Raw CSG Country SnS'!$C:$C,"ITALY")))/(SUMIFS('Raw CSG Country SnS'!$G:$G,'Raw CSG Country SnS'!$B:$B,"FY19-Q2",'Raw CSG Country SnS'!$C:$C,"ITALY")),"")</f>
        <v>-6.3742756504942627E-2</v>
      </c>
      <c r="K31" s="173"/>
      <c r="L31" s="50">
        <f>SUMIFS('Raw CSG Country SnS'!$H:$H,'Raw CSG Country SnS'!$B:$B,"FY20-Q3",'Raw CSG Country SnS'!$C:$C,"ITALY")</f>
        <v>2634</v>
      </c>
      <c r="M31" s="263" t="str">
        <f t="shared" si="0"/>
        <v/>
      </c>
      <c r="N31" s="263"/>
      <c r="O31" s="208" t="str">
        <f t="shared" si="1"/>
        <v/>
      </c>
      <c r="P31" s="254">
        <f t="shared" si="2"/>
        <v>8652</v>
      </c>
      <c r="Q31" s="245">
        <f>SUMIFS('Raw CSG Country SnS'!$G:$G,'Raw CSG Country SnS'!$B:$B,"FY20-Q3",'Raw CSG Country SnS'!$C:$C,"ITALY")</f>
        <v>8667</v>
      </c>
      <c r="R31" s="263">
        <f t="shared" si="3"/>
        <v>1.001733703190014</v>
      </c>
      <c r="S31" s="263"/>
      <c r="T31" s="208">
        <f t="shared" si="4"/>
        <v>1.7337031900138697E-3</v>
      </c>
      <c r="U31" s="173"/>
      <c r="V31" s="200">
        <f>IFERROR(((U31-SUMIFS('Raw CSG Country SnS'!$H:$H,'Raw CSG Country SnS'!$B:$B,"FY19-Q4",'Raw CSG Country SnS'!$C:$C,"ITALY")))/(SUMIFS('Raw CSG Country SnS'!$H:$H,'Raw CSG Country SnS'!$B:$B,"FY19-Q4",'Raw CSG Country SnS'!$C:$C,"ITALY")),"")</f>
        <v>-1</v>
      </c>
      <c r="W31" s="237"/>
      <c r="X31" s="208">
        <f>IFERROR(((W31-SUMIFS('Raw CSG Country SnS'!$G:$G,'Raw CSG Country SnS'!$B:$B,"FY19-Q4",'Raw CSG Country SnS'!$C:$C,"ITALY")))/(SUMIFS('Raw CSG Country SnS'!$G:$G,'Raw CSG Country SnS'!$B:$B,"FY19-Q4",'Raw CSG Country SnS'!$C:$C,"ITALY")),"")</f>
        <v>-1</v>
      </c>
    </row>
    <row r="32" spans="1:24" ht="15.2" customHeight="1" thickBot="1" x14ac:dyDescent="0.3">
      <c r="A32" s="271" t="s">
        <v>59</v>
      </c>
      <c r="B32" s="333"/>
      <c r="C32" s="202">
        <f>SUMIFS('Raw CSG Italy SnS'!$H:$H,'Raw CSG Italy SnS'!$B:$B,"FY20-Q1",'Raw CSG Italy SnS'!$C:$C,"ITALY",'Raw CSG Italy SnS'!$D:$D,"*computer gross*")</f>
        <v>1168</v>
      </c>
      <c r="D32" s="204">
        <f>IFERROR(((SUMIFS('Raw CSG Italy SnS'!$H:$H,'Raw CSG Italy SnS'!$B:$B,"FY20-Q1",'Raw CSG Italy SnS'!$C:$C,"ITALY",'Raw CSG Italy SnS'!$D:$D,"*computer gross*")-SUMIFS('Raw CSG Italy SnS'!$H:$H,'Raw CSG Italy SnS'!$B:$B,"FY19-Q1",'Raw CSG Italy SnS'!$C:$C,"ITALY",'Raw CSG Italy SnS'!$D:$D,"*computer gross*")))/(SUMIFS('Raw CSG Italy SnS'!$H:$H,'Raw CSG Italy SnS'!$B:$B,"FY19-Q1",'Raw CSG Italy SnS'!$C:$C,"ITALY",'Raw CSG Italy SnS'!$D:$D,"*computer gross*")),"")</f>
        <v>-1.1844331641285956E-2</v>
      </c>
      <c r="E32" s="246">
        <f>SUMIFS('Raw CSG Italy SnS'!$G:$G,'Raw CSG Italy SnS'!$B:$B,"FY20-Q1",'Raw CSG Italy SnS'!$C:$C,"ITALY",'Raw CSG Italy SnS'!$D:$D,"*computer gross*")</f>
        <v>6801</v>
      </c>
      <c r="F32" s="204">
        <f>IFERROR(((SUMIFS('Raw CSG Italy SnS'!$G:$G,'Raw CSG Italy SnS'!$B:$B,"FY20-Q1",'Raw CSG Italy SnS'!$C:$C,"ITALY",'Raw CSG Italy SnS'!$D:$D,"*computer gross*")-SUMIFS('Raw CSG Italy SnS'!$G:$G,'Raw CSG Italy SnS'!$B:$B,"FY19-Q1",'Raw CSG Italy SnS'!$C:$C,"ITALY",'Raw CSG Italy SnS'!$D:$D,"*computer gross*")))/(SUMIFS('Raw CSG Italy SnS'!$G:$G,'Raw CSG Italy SnS'!$B:$B,"FY19-Q1",'Raw CSG Italy SnS'!$C:$C,"ITALY",'Raw CSG Italy SnS'!$D:$D,"*computer gross*")),"")</f>
        <v>6.6321730950141114E-2</v>
      </c>
      <c r="G32" s="202">
        <f>SUMIFS('Raw CSG Italy SnS'!$H:$H,'Raw CSG Italy SnS'!$B:$B,"FY20-Q2",'Raw CSG Italy SnS'!$C:$C,"ITALY",'Raw CSG Italy SnS'!$D:$D,"*computer gross*")</f>
        <v>1183</v>
      </c>
      <c r="H32" s="199">
        <f>IFERROR(((SUMIFS('Raw CSG Italy SnS'!$H:$H,'Raw CSG Italy SnS'!$B:$B,"FY20-Q2",'Raw CSG Italy SnS'!$C:$C,"ITALY",'Raw CSG Italy SnS'!$D:$D,"*computer gross*")-SUMIFS('Raw CSG Italy SnS'!$H:$H,'Raw CSG Italy SnS'!$B:$B,"FY19-Q2",'Raw CSG Italy SnS'!$C:$C,"ITALY",'Raw CSG Italy SnS'!$D:$D,"*computer gross*")))/(SUMIFS('Raw CSG Italy SnS'!$H:$H,'Raw CSG Italy SnS'!$B:$B,"FY19-Q2",'Raw CSG Italy SnS'!$C:$C,"ITALY",'Raw CSG Italy SnS'!$D:$D,"*computer gross*")),"")</f>
        <v>1.3710368466152529E-2</v>
      </c>
      <c r="I32" s="246">
        <f>SUMIFS('Raw CSG Italy SnS'!$G:$G,'Raw CSG Italy SnS'!$B:$B,"FY20-Q2",'Raw CSG Italy SnS'!$C:$C,"ITALY",'Raw CSG Italy SnS'!$D:$D,"*computer gross*")</f>
        <v>6121</v>
      </c>
      <c r="J32" s="204">
        <f>IFERROR(((SUMIFS('Raw CSG Italy SnS'!$G:$G,'Raw CSG Italy SnS'!$B:$B,"FY20-Q2",'Raw CSG Italy SnS'!$C:$C,"ITALY",'Raw CSG Italy SnS'!$D:$D,"*computer gross*")-SUMIFS('Raw CSG Italy SnS'!$G:$G,'Raw CSG Italy SnS'!$B:$B,"FY19-Q2",'Raw CSG Italy SnS'!$C:$C,"ITALY",'Raw CSG Italy SnS'!$D:$D,"*computer gross*")))/(SUMIFS('Raw CSG Italy SnS'!$G:$G,'Raw CSG Italy SnS'!$B:$B,"FY19-Q2",'Raw CSG Italy SnS'!$C:$C,"ITALY",'Raw CSG Italy SnS'!$D:$D,"*computer gross*")),"")</f>
        <v>-4.4489541055260692E-2</v>
      </c>
      <c r="K32" s="174"/>
      <c r="L32" s="56">
        <f>SUMIFS('Raw CSG Italy SnS'!$H:$H,'Raw CSG Italy SnS'!$B:$B,"FY20-Q3",'Raw CSG Italy SnS'!$C:$C,"ITALY",'Raw CSG Italy SnS'!$D:$D,"*computer gross*")</f>
        <v>1199</v>
      </c>
      <c r="M32" s="263" t="str">
        <f t="shared" si="0"/>
        <v/>
      </c>
      <c r="N32" s="265"/>
      <c r="O32" s="204" t="str">
        <f t="shared" si="1"/>
        <v/>
      </c>
      <c r="P32" s="255">
        <f t="shared" si="2"/>
        <v>6427.05</v>
      </c>
      <c r="Q32" s="246">
        <f>SUMIFS('Raw CSG Italy SnS'!$G:$G,'Raw CSG Italy SnS'!$B:$B,"FY20-Q3",'Raw CSG Italy SnS'!$C:$C,"ITALY",'Raw CSG Italy SnS'!$D:$D,"*computer gross*")</f>
        <v>6554</v>
      </c>
      <c r="R32" s="263">
        <f t="shared" si="3"/>
        <v>1.0197524525248753</v>
      </c>
      <c r="S32" s="265"/>
      <c r="T32" s="204">
        <f t="shared" si="4"/>
        <v>1.9752452524875303E-2</v>
      </c>
      <c r="U32" s="174"/>
      <c r="V32" s="199">
        <f>IFERROR(((U32-SUMIFS('Raw CSG Italy SnS'!$H:$H,'Raw CSG Italy SnS'!$B:$B,"FY19-Q4",'Raw CSG Italy SnS'!$C:$C,"ITALY",'Raw CSG Italy SnS'!$D:$D,"*computer gross*")))/(SUMIFS('Raw CSG Italy SnS'!$H:$H,'Raw CSG Italy SnS'!$B:$B,"FY19-Q4",'Raw CSG Italy SnS'!$C:$C,"ITALY",'Raw CSG Italy SnS'!$D:$D,"*computer gross*")),"")</f>
        <v>-1</v>
      </c>
      <c r="W32" s="238"/>
      <c r="X32" s="204">
        <f>IFERROR(((W32-SUMIFS('Raw CSG Italy SnS'!$G:$G,'Raw CSG Italy SnS'!$B:$B,"FY19-Q4",'Raw CSG Italy SnS'!$C:$C,"ITALY",'Raw CSG Italy SnS'!$D:$D,"*computer gross*")))/(SUMIFS('Raw CSG Italy SnS'!$G:$G,'Raw CSG Italy SnS'!$B:$B,"FY19-Q4",'Raw CSG Italy SnS'!$C:$C,"ITALY",'Raw CSG Italy SnS'!$D:$D,"*computer gross*")),"")</f>
        <v>-1</v>
      </c>
    </row>
    <row r="33" spans="1:24" ht="15.6" customHeight="1" thickBot="1" x14ac:dyDescent="0.3">
      <c r="A33" s="272" t="s">
        <v>60</v>
      </c>
      <c r="B33" s="333"/>
      <c r="C33" s="202">
        <f>SUMIFS('Raw CSG Italy SnS'!$H:$H,'Raw CSG Italy SnS'!$B:$B,"FY20-Q1",'Raw CSG Italy SnS'!$C:$C,"ITALY",'Raw CSG Italy SnS'!$D:$D,"*datamatic*")</f>
        <v>581</v>
      </c>
      <c r="D33" s="204">
        <f>IFERROR(((SUMIFS('Raw CSG Italy SnS'!$H:$H,'Raw CSG Italy SnS'!$B:$B,"FY20-Q1",'Raw CSG Italy SnS'!$C:$C,"ITALY",'Raw CSG Italy SnS'!$D:$D,"*datamatic*")-SUMIFS('Raw CSG Italy SnS'!$H:$H,'Raw CSG Italy SnS'!$B:$B,"FY19-Q1",'Raw CSG Italy SnS'!$C:$C,"ITALY",'Raw CSG Italy SnS'!$D:$D,"*datamatic*")))/(SUMIFS('Raw CSG Italy SnS'!$H:$H,'Raw CSG Italy SnS'!$B:$B,"FY19-Q1",'Raw CSG Italy SnS'!$C:$C,"ITALY",'Raw CSG Italy SnS'!$D:$D,"*datamatic*")),"")</f>
        <v>4.4964028776978415E-2</v>
      </c>
      <c r="E33" s="246">
        <f>SUMIFS('Raw CSG Italy SnS'!$G:$G,'Raw CSG Italy SnS'!$B:$B,"FY20-Q1",'Raw CSG Italy SnS'!$C:$C,"ITALY",'Raw CSG Italy SnS'!$D:$D,"*datamatic*")</f>
        <v>5630</v>
      </c>
      <c r="F33" s="204">
        <f>IFERROR(((SUMIFS('Raw CSG Italy SnS'!$G:$G,'Raw CSG Italy SnS'!$B:$B,"FY20-Q1",'Raw CSG Italy SnS'!$C:$C,"ITALY",'Raw CSG Italy SnS'!$D:$D,"*datamatic*")-SUMIFS('Raw CSG Italy SnS'!$G:$G,'Raw CSG Italy SnS'!$B:$B,"FY19-Q1",'Raw CSG Italy SnS'!$C:$C,"ITALY",'Raw CSG Italy SnS'!$D:$D,"*datamatic*")))/(SUMIFS('Raw CSG Italy SnS'!$G:$G,'Raw CSG Italy SnS'!$B:$B,"FY19-Q1",'Raw CSG Italy SnS'!$C:$C,"ITALY",'Raw CSG Italy SnS'!$D:$D,"*datamatic*")),"")</f>
        <v>8.2068037670574662E-2</v>
      </c>
      <c r="G33" s="202">
        <f>SUMIFS('Raw CSG Italy SnS'!$H:$H,'Raw CSG Italy SnS'!$B:$B,"FY20-Q2",'Raw CSG Italy SnS'!$C:$C,"ITALY",'Raw CSG Italy SnS'!$D:$D,"*datamatic*")</f>
        <v>541</v>
      </c>
      <c r="H33" s="199">
        <f>IFERROR(((SUMIFS('Raw CSG Italy SnS'!$H:$H,'Raw CSG Italy SnS'!$B:$B,"FY20-Q2",'Raw CSG Italy SnS'!$C:$C,"ITALY",'Raw CSG Italy SnS'!$D:$D,"*datamatic*")-SUMIFS('Raw CSG Italy SnS'!$H:$H,'Raw CSG Italy SnS'!$B:$B,"FY19-Q2",'Raw CSG Italy SnS'!$C:$C,"ITALY",'Raw CSG Italy SnS'!$D:$D,"*datamatic*")))/(SUMIFS('Raw CSG Italy SnS'!$H:$H,'Raw CSG Italy SnS'!$B:$B,"FY19-Q2",'Raw CSG Italy SnS'!$C:$C,"ITALY",'Raw CSG Italy SnS'!$D:$D,"*datamatic*")),"")</f>
        <v>-0.10132890365448505</v>
      </c>
      <c r="I33" s="246">
        <f>SUMIFS('Raw CSG Italy SnS'!$G:$G,'Raw CSG Italy SnS'!$B:$B,"FY20-Q2",'Raw CSG Italy SnS'!$C:$C,"ITALY",'Raw CSG Italy SnS'!$D:$D,"*datamatic*")</f>
        <v>4833</v>
      </c>
      <c r="J33" s="204">
        <f>IFERROR(((SUMIFS('Raw CSG Italy SnS'!$G:$G,'Raw CSG Italy SnS'!$B:$B,"FY20-Q2",'Raw CSG Italy SnS'!$C:$C,"ITALY",'Raw CSG Italy SnS'!$D:$D,"*datamatic*")-SUMIFS('Raw CSG Italy SnS'!$G:$G,'Raw CSG Italy SnS'!$B:$B,"FY19-Q2",'Raw CSG Italy SnS'!$C:$C,"ITALY",'Raw CSG Italy SnS'!$D:$D,"*datamatic*")))/(SUMIFS('Raw CSG Italy SnS'!$G:$G,'Raw CSG Italy SnS'!$B:$B,"FY19-Q2",'Raw CSG Italy SnS'!$C:$C,"ITALY",'Raw CSG Italy SnS'!$D:$D,"*datamatic*")),"")</f>
        <v>-2.9712909054406746E-2</v>
      </c>
      <c r="K33" s="175"/>
      <c r="L33" s="56">
        <f>SUMIFS('Raw CSG Italy SnS'!$H:$H,'Raw CSG Italy SnS'!$B:$B,"FY20-Q3",'Raw CSG Italy SnS'!$C:$C,"ITALY",'Raw CSG Italy SnS'!$D:$D,"*datamatic*")</f>
        <v>551</v>
      </c>
      <c r="M33" s="263" t="str">
        <f t="shared" si="0"/>
        <v/>
      </c>
      <c r="N33" s="265"/>
      <c r="O33" s="204" t="str">
        <f t="shared" si="1"/>
        <v/>
      </c>
      <c r="P33" s="255">
        <f t="shared" si="2"/>
        <v>5074.6500000000005</v>
      </c>
      <c r="Q33" s="246">
        <f>SUMIFS('Raw CSG Italy SnS'!$G:$G,'Raw CSG Italy SnS'!$B:$B,"FY20-Q3",'Raw CSG Italy SnS'!$C:$C,"ITALY",'Raw CSG Italy SnS'!$D:$D,"*datamatic*")</f>
        <v>5200</v>
      </c>
      <c r="R33" s="263">
        <f t="shared" si="3"/>
        <v>1.0247012109209501</v>
      </c>
      <c r="S33" s="265"/>
      <c r="T33" s="204">
        <f t="shared" si="4"/>
        <v>2.4701210920950102E-2</v>
      </c>
      <c r="U33" s="175"/>
      <c r="V33" s="199">
        <f>IFERROR(((U33-SUMIFS('Raw CSG Italy SnS'!$H:$H,'Raw CSG Italy SnS'!$B:$B,"FY19-Q4",'Raw CSG Italy SnS'!$C:$C,"ITALY",'Raw CSG Italy SnS'!$D:$D,"*datamatic*")))/(SUMIFS('Raw CSG Italy SnS'!$H:$H,'Raw CSG Italy SnS'!$B:$B,"FY19-Q4",'Raw CSG Italy SnS'!$C:$C,"ITALY",'Raw CSG Italy SnS'!$D:$D,"*datamatic*")),"")</f>
        <v>-1</v>
      </c>
      <c r="W33" s="239"/>
      <c r="X33" s="204">
        <f>IFERROR(((W33-SUMIFS('Raw CSG Italy SnS'!$G:$G,'Raw CSG Italy SnS'!$B:$B,"FY19-Q4",'Raw CSG Italy SnS'!$C:$C,"ITALY",'Raw CSG Italy SnS'!$D:$D,"*datamatic*")))/(SUMIFS('Raw CSG Italy SnS'!$G:$G,'Raw CSG Italy SnS'!$B:$B,"FY19-Q4",'Raw CSG Italy SnS'!$C:$C,"ITALY",'Raw CSG Italy SnS'!$D:$D,"*datamatic*")),"")</f>
        <v>-1</v>
      </c>
    </row>
    <row r="34" spans="1:24" ht="16.350000000000001" customHeight="1" thickBot="1" x14ac:dyDescent="0.3">
      <c r="A34" s="272" t="s">
        <v>61</v>
      </c>
      <c r="B34" s="333"/>
      <c r="C34" s="202">
        <f>SUMIFS('Raw CSG Italy SnS'!$H:$H,'Raw CSG Italy SnS'!$B:$B,"FY20-Q1",'Raw CSG Italy SnS'!$C:$C,"ITALY",'Raw CSG Italy SnS'!$D:$D,"*esprinet*")</f>
        <v>1513</v>
      </c>
      <c r="D34" s="204">
        <f>IFERROR(((SUMIFS('Raw CSG Italy SnS'!$H:$H,'Raw CSG Italy SnS'!$B:$B,"FY20-Q1",'Raw CSG Italy SnS'!$C:$C,"ITALY",'Raw CSG Italy SnS'!$D:$D,"*esprinet*")-SUMIFS('Raw CSG Italy SnS'!$H:$H,'Raw CSG Italy SnS'!$B:$B,"FY19-Q1",'Raw CSG Italy SnS'!$C:$C,"ITALY",'Raw CSG Italy SnS'!$D:$D,"*esprinet*")))/(SUMIFS('Raw CSG Italy SnS'!$H:$H,'Raw CSG Italy SnS'!$B:$B,"FY19-Q1",'Raw CSG Italy SnS'!$C:$C,"ITALY",'Raw CSG Italy SnS'!$D:$D,"*esprinet*")),"")</f>
        <v>0.17651632970451012</v>
      </c>
      <c r="E34" s="246">
        <f>SUMIFS('Raw CSG Italy SnS'!$G:$G,'Raw CSG Italy SnS'!$B:$B,"FY20-Q1",'Raw CSG Italy SnS'!$C:$C,"ITALY",'Raw CSG Italy SnS'!$D:$D,"*esprinet*")</f>
        <v>7461</v>
      </c>
      <c r="F34" s="204">
        <f>IFERROR(((SUMIFS('Raw CSG Italy SnS'!$G:$G,'Raw CSG Italy SnS'!$B:$B,"FY20-Q1",'Raw CSG Italy SnS'!$C:$C,"ITALY",'Raw CSG Italy SnS'!$D:$D,"*esprinet*")-SUMIFS('Raw CSG Italy SnS'!$G:$G,'Raw CSG Italy SnS'!$B:$B,"FY19-Q1",'Raw CSG Italy SnS'!$C:$C,"ITALY",'Raw CSG Italy SnS'!$D:$D,"*esprinet*")))/(SUMIFS('Raw CSG Italy SnS'!$G:$G,'Raw CSG Italy SnS'!$B:$B,"FY19-Q1",'Raw CSG Italy SnS'!$C:$C,"ITALY",'Raw CSG Italy SnS'!$D:$D,"*esprinet*")),"")</f>
        <v>8.5394239162059932E-2</v>
      </c>
      <c r="G34" s="202">
        <f>SUMIFS('Raw CSG Italy SnS'!$H:$H,'Raw CSG Italy SnS'!$B:$B,"FY20-Q2",'Raw CSG Italy SnS'!$C:$C,"ITALY",'Raw CSG Italy SnS'!$D:$D,"*esprinet*")</f>
        <v>1421</v>
      </c>
      <c r="H34" s="199">
        <f>IFERROR(((SUMIFS('Raw CSG Italy SnS'!$H:$H,'Raw CSG Italy SnS'!$B:$B,"FY20-Q2",'Raw CSG Italy SnS'!$C:$C,"ITALY",'Raw CSG Italy SnS'!$D:$D,"*esprinet*")-SUMIFS('Raw CSG Italy SnS'!$H:$H,'Raw CSG Italy SnS'!$B:$B,"FY19-Q2",'Raw CSG Italy SnS'!$C:$C,"ITALY",'Raw CSG Italy SnS'!$D:$D,"*esprinet*")))/(SUMIFS('Raw CSG Italy SnS'!$H:$H,'Raw CSG Italy SnS'!$B:$B,"FY19-Q2",'Raw CSG Italy SnS'!$C:$C,"ITALY",'Raw CSG Italy SnS'!$D:$D,"*esprinet*")),"")</f>
        <v>5.661712668082095E-3</v>
      </c>
      <c r="I34" s="246">
        <f>SUMIFS('Raw CSG Italy SnS'!$G:$G,'Raw CSG Italy SnS'!$B:$B,"FY20-Q2",'Raw CSG Italy SnS'!$C:$C,"ITALY",'Raw CSG Italy SnS'!$D:$D,"*esprinet*")</f>
        <v>6415</v>
      </c>
      <c r="J34" s="204">
        <f>IFERROR(((SUMIFS('Raw CSG Italy SnS'!$G:$G,'Raw CSG Italy SnS'!$B:$B,"FY20-Q2",'Raw CSG Italy SnS'!$C:$C,"ITALY",'Raw CSG Italy SnS'!$D:$D,"*esprinet*")-SUMIFS('Raw CSG Italy SnS'!$G:$G,'Raw CSG Italy SnS'!$B:$B,"FY19-Q2",'Raw CSG Italy SnS'!$C:$C,"ITALY",'Raw CSG Italy SnS'!$D:$D,"*esprinet*")))/(SUMIFS('Raw CSG Italy SnS'!$G:$G,'Raw CSG Italy SnS'!$B:$B,"FY19-Q2",'Raw CSG Italy SnS'!$C:$C,"ITALY",'Raw CSG Italy SnS'!$D:$D,"*esprinet*")),"")</f>
        <v>3.4412638823713435E-3</v>
      </c>
      <c r="K34" s="176"/>
      <c r="L34" s="56">
        <f>SUMIFS('Raw CSG Italy SnS'!$H:$H,'Raw CSG Italy SnS'!$B:$B,"FY20-Q3",'Raw CSG Italy SnS'!$C:$C,"ITALY",'Raw CSG Italy SnS'!$D:$D,"*esprinet*")</f>
        <v>1385</v>
      </c>
      <c r="M34" s="263" t="str">
        <f t="shared" si="0"/>
        <v/>
      </c>
      <c r="N34" s="265"/>
      <c r="O34" s="204" t="str">
        <f t="shared" si="1"/>
        <v/>
      </c>
      <c r="P34" s="255">
        <f t="shared" si="2"/>
        <v>6735.75</v>
      </c>
      <c r="Q34" s="246">
        <f>SUMIFS('Raw CSG Italy SnS'!$G:$G,'Raw CSG Italy SnS'!$B:$B,"FY20-Q3",'Raw CSG Italy SnS'!$C:$C,"ITALY",'Raw CSG Italy SnS'!$D:$D,"*esprinet*")</f>
        <v>6484</v>
      </c>
      <c r="R34" s="263">
        <f t="shared" si="3"/>
        <v>0.96262480050476928</v>
      </c>
      <c r="S34" s="265"/>
      <c r="T34" s="204">
        <f t="shared" si="4"/>
        <v>-3.7375199495230674E-2</v>
      </c>
      <c r="U34" s="176"/>
      <c r="V34" s="199">
        <f>IFERROR(((U34-SUMIFS('Raw CSG Italy SnS'!$H:$H,'Raw CSG Italy SnS'!$B:$B,"FY19-Q4",'Raw CSG Italy SnS'!$C:$C,"ITALY",'Raw CSG Italy SnS'!$D:$D,"*esprinet*")))/(SUMIFS('Raw CSG Italy SnS'!$H:$H,'Raw CSG Italy SnS'!$B:$B,"FY19-Q4",'Raw CSG Italy SnS'!$C:$C,"ITALY",'Raw CSG Italy SnS'!$D:$D,"*esprinet*")),"")</f>
        <v>-1</v>
      </c>
      <c r="W34" s="240"/>
      <c r="X34" s="204">
        <f>IFERROR(((W34-SUMIFS('Raw CSG Italy SnS'!$G:$G,'Raw CSG Italy SnS'!$B:$B,"FY19-Q4",'Raw CSG Italy SnS'!$C:$C,"ITALY",'Raw CSG Italy SnS'!$D:$D,"*esprinet*")))/(SUMIFS('Raw CSG Italy SnS'!$G:$G,'Raw CSG Italy SnS'!$B:$B,"FY19-Q4",'Raw CSG Italy SnS'!$C:$C,"ITALY",'Raw CSG Italy SnS'!$D:$D,"*esprinet*")),"")</f>
        <v>-1</v>
      </c>
    </row>
    <row r="35" spans="1:24" ht="15.6" customHeight="1" thickBot="1" x14ac:dyDescent="0.3">
      <c r="A35" s="273" t="s">
        <v>40</v>
      </c>
      <c r="B35" s="334"/>
      <c r="C35" s="205">
        <f>SUMIFS('Raw CSG Italy SnS'!$H:$H,'Raw CSG Italy SnS'!$B:$B,"FY20-Q1",'Raw CSG Italy SnS'!$C:$C,"ITALY",'Raw CSG Italy SnS'!$D:$D,"*tech data*")</f>
        <v>727</v>
      </c>
      <c r="D35" s="207">
        <f>IFERROR(((SUMIFS('Raw CSG Italy SnS'!$H:$H,'Raw CSG Italy SnS'!$B:$B,"FY20-Q1",'Raw CSG Italy SnS'!$C:$C,"ITALY",'Raw CSG Italy SnS'!$D:$D,"*tech data*")-SUMIFS('Raw CSG Italy SnS'!$H:$H,'Raw CSG Italy SnS'!$B:$B,"FY19-Q1",'Raw CSG Italy SnS'!$C:$C,"ITALY",'Raw CSG Italy SnS'!$D:$D,"*tech data*")))/(SUMIFS('Raw CSG Italy SnS'!$H:$H,'Raw CSG Italy SnS'!$B:$B,"FY19-Q1",'Raw CSG Italy SnS'!$C:$C,"ITALY",'Raw CSG Italy SnS'!$D:$D,"*tech data*")),"")</f>
        <v>0.14668769716088328</v>
      </c>
      <c r="E35" s="247">
        <f>SUMIFS('Raw CSG Italy SnS'!$G:$G,'Raw CSG Italy SnS'!$B:$B,"FY20-Q1",'Raw CSG Italy SnS'!$C:$C,"ITALY",'Raw CSG Italy SnS'!$D:$D,"*tech data*")</f>
        <v>6801</v>
      </c>
      <c r="F35" s="207">
        <f>IFERROR(((SUMIFS('Raw CSG Italy SnS'!$G:$G,'Raw CSG Italy SnS'!$B:$B,"FY20-Q1",'Raw CSG Italy SnS'!$C:$C,"ITALY",'Raw CSG Italy SnS'!$D:$D,"*tech data*")-SUMIFS('Raw CSG Italy SnS'!$G:$G,'Raw CSG Italy SnS'!$B:$B,"FY19-Q1",'Raw CSG Italy SnS'!$C:$C,"ITALY",'Raw CSG Italy SnS'!$D:$D,"*tech data*")))/(SUMIFS('Raw CSG Italy SnS'!$G:$G,'Raw CSG Italy SnS'!$B:$B,"FY19-Q1",'Raw CSG Italy SnS'!$C:$C,"ITALY",'Raw CSG Italy SnS'!$D:$D,"*tech data*")),"")</f>
        <v>-0.20072864026325068</v>
      </c>
      <c r="G35" s="205">
        <f>SUMIFS('Raw CSG Italy SnS'!$H:$H,'Raw CSG Italy SnS'!$B:$B,"FY20-Q2",'Raw CSG Italy SnS'!$C:$C,"ITALY",'Raw CSG Italy SnS'!$D:$D,"*tech data*")</f>
        <v>684</v>
      </c>
      <c r="H35" s="206">
        <f>IFERROR(((SUMIFS('Raw CSG Italy SnS'!$H:$H,'Raw CSG Italy SnS'!$B:$B,"FY20-Q2",'Raw CSG Italy SnS'!$C:$C,"ITALY",'Raw CSG Italy SnS'!$D:$D,"*tech data*")-SUMIFS('Raw CSG Italy SnS'!$H:$H,'Raw CSG Italy SnS'!$B:$B,"FY19-Q2",'Raw CSG Italy SnS'!$C:$C,"ITALY",'Raw CSG Italy SnS'!$D:$D,"*tech data*")))/(SUMIFS('Raw CSG Italy SnS'!$H:$H,'Raw CSG Italy SnS'!$B:$B,"FY19-Q2",'Raw CSG Italy SnS'!$C:$C,"ITALY",'Raw CSG Italy SnS'!$D:$D,"*tech data*")),"")</f>
        <v>6.8750000000000006E-2</v>
      </c>
      <c r="I35" s="247">
        <f>SUMIFS('Raw CSG Italy SnS'!$G:$G,'Raw CSG Italy SnS'!$B:$B,"FY20-Q2",'Raw CSG Italy SnS'!$C:$C,"ITALY",'Raw CSG Italy SnS'!$D:$D,"*tech data*")</f>
        <v>5684</v>
      </c>
      <c r="J35" s="207">
        <f>IFERROR(((SUMIFS('Raw CSG Italy SnS'!$G:$G,'Raw CSG Italy SnS'!$B:$B,"FY20-Q2",'Raw CSG Italy SnS'!$C:$C,"ITALY",'Raw CSG Italy SnS'!$D:$D,"*tech data*")-SUMIFS('Raw CSG Italy SnS'!$G:$G,'Raw CSG Italy SnS'!$B:$B,"FY19-Q2",'Raw CSG Italy SnS'!$C:$C,"ITALY",'Raw CSG Italy SnS'!$D:$D,"*tech data*")))/(SUMIFS('Raw CSG Italy SnS'!$G:$G,'Raw CSG Italy SnS'!$B:$B,"FY19-Q2",'Raw CSG Italy SnS'!$C:$C,"ITALY",'Raw CSG Italy SnS'!$D:$D,"*tech data*")),"")</f>
        <v>-8.7347463070006418E-2</v>
      </c>
      <c r="K35" s="174"/>
      <c r="L35" s="80">
        <f>SUMIFS('Raw CSG Italy SnS'!$H:$H,'Raw CSG Italy SnS'!$B:$B,"FY20-Q3",'Raw CSG Italy SnS'!$C:$C,"ITALY",'Raw CSG Italy SnS'!$D:$D,"*tech data*")</f>
        <v>620</v>
      </c>
      <c r="M35" s="263" t="str">
        <f t="shared" si="0"/>
        <v/>
      </c>
      <c r="N35" s="266"/>
      <c r="O35" s="207" t="str">
        <f t="shared" si="1"/>
        <v/>
      </c>
      <c r="P35" s="256">
        <f t="shared" si="2"/>
        <v>5968.2</v>
      </c>
      <c r="Q35" s="247">
        <f>SUMIFS('Raw CSG Italy SnS'!$G:$G,'Raw CSG Italy SnS'!$B:$B,"FY20-Q3",'Raw CSG Italy SnS'!$C:$C,"ITALY",'Raw CSG Italy SnS'!$D:$D,"*tech data*")</f>
        <v>5596</v>
      </c>
      <c r="R35" s="263">
        <f t="shared" si="3"/>
        <v>0.93763613819912206</v>
      </c>
      <c r="S35" s="266"/>
      <c r="T35" s="207">
        <f t="shared" si="4"/>
        <v>-6.2363861800877961E-2</v>
      </c>
      <c r="U35" s="174"/>
      <c r="V35" s="206">
        <f>IFERROR(((U35-SUMIFS('Raw CSG Italy SnS'!$H:$H,'Raw CSG Italy SnS'!$B:$B,"FY19-Q4",'Raw CSG Italy SnS'!$C:$C,"ITALY",'Raw CSG Italy SnS'!$D:$D,"*tech data*")))/(SUMIFS('Raw CSG Italy SnS'!$H:$H,'Raw CSG Italy SnS'!$B:$B,"FY19-Q4",'Raw CSG Italy SnS'!$C:$C,"ITALY",'Raw CSG Italy SnS'!$D:$D,"*tech data*")),"")</f>
        <v>-1</v>
      </c>
      <c r="W35" s="238"/>
      <c r="X35" s="207">
        <f>IFERROR(((W35-SUMIFS('Raw CSG Italy SnS'!$G:$G,'Raw CSG Italy SnS'!$B:$B,"FY19-Q4",'Raw CSG Italy SnS'!$C:$C,"ITALY",'Raw CSG Italy SnS'!$D:$D,"*tech data*")))/(SUMIFS('Raw CSG Italy SnS'!$G:$G,'Raw CSG Italy SnS'!$B:$B,"FY19-Q4",'Raw CSG Italy SnS'!$C:$C,"ITALY",'Raw CSG Italy SnS'!$D:$D,"*tech data*")),"")</f>
        <v>-1</v>
      </c>
    </row>
    <row r="36" spans="1:24" ht="26.1" customHeight="1" thickBot="1" x14ac:dyDescent="0.3">
      <c r="A36" s="164" t="s">
        <v>58</v>
      </c>
      <c r="B36" s="188" t="s">
        <v>49</v>
      </c>
      <c r="C36" s="223">
        <f>SUMIFS('Raw Commercial Country SnS+B2B'!$H:$H,'Raw Commercial Country SnS+B2B'!$B:$B,"FY20-Q1",'Raw Commercial Country SnS+B2B'!$C:$C,"RUSSIA")</f>
        <v>456</v>
      </c>
      <c r="D36" s="225">
        <f>IFERROR(((SUMIFS('Raw Commercial Country SnS+B2B'!$H:$H,'Raw Commercial Country SnS+B2B'!$B:$B,"FY20-Q1",'Raw Commercial Country SnS+B2B'!$C:$C,"RUSSIA")-SUMIFS('Raw Commercial Country SnS+B2B'!$H:$H,'Raw Commercial Country SnS+B2B'!$B:$B,"FY19-Q1",'Raw Commercial Country SnS+B2B'!$C:$C,"RUSSIA")))/(SUMIFS('Raw Commercial Country SnS+B2B'!$H:$H,'Raw Commercial Country SnS+B2B'!$B:$B,"FY19-Q1",'Raw Commercial Country SnS+B2B'!$C:$C,"RUSSIA")),"")</f>
        <v>0.11764705882352941</v>
      </c>
      <c r="E36" s="253">
        <f>SUMIFS('Raw Commercial Country SnS+B2B'!$G:$G,'Raw Commercial Country SnS+B2B'!$B:$B,"FY20-Q1",'Raw Commercial Country SnS+B2B'!$C:$C,"RUSSIA")</f>
        <v>19009</v>
      </c>
      <c r="F36" s="225">
        <f>IFERROR(((SUMIFS('Raw Commercial Country SnS+B2B'!$G:$G,'Raw Commercial Country SnS+B2B'!$B:$B,"FY20-Q1",'Raw Commercial Country SnS+B2B'!$C:$C,"RUSSIA")-SUMIFS('Raw Commercial Country SnS+B2B'!$G:$G,'Raw Commercial Country SnS+B2B'!$B:$B,"FY19-Q1",'Raw Commercial Country SnS+B2B'!$C:$C,"RUSSIA")))/(SUMIFS('Raw Commercial Country SnS+B2B'!$G:$G,'Raw Commercial Country SnS+B2B'!$B:$B,"FY19-Q1",'Raw Commercial Country SnS+B2B'!$C:$C,"RUSSIA")),"")</f>
        <v>-8.0001935921014428E-2</v>
      </c>
      <c r="G36" s="223">
        <f>SUMIFS('Raw Commercial Country SnS+B2B'!$H:$H,'Raw Commercial Country SnS+B2B'!$B:$B,"FY20-Q2",'Raw Commercial Country SnS+B2B'!$C:$C,"RUSSIA")</f>
        <v>465</v>
      </c>
      <c r="H36" s="226">
        <f>IFERROR(((SUMIFS('Raw Commercial Country SnS+B2B'!$H:$H,'Raw Commercial Country SnS+B2B'!$B:$B,"FY20-Q2",'Raw Commercial Country SnS+B2B'!$C:$C,"RUSSIA")-SUMIFS('Raw Commercial Country SnS+B2B'!$H:$H,'Raw Commercial Country SnS+B2B'!$B:$B,"FY19-Q2",'Raw Commercial Country SnS+B2B'!$C:$C,"RUSSIA")))/(SUMIFS('Raw Commercial Country SnS+B2B'!$H:$H,'Raw Commercial Country SnS+B2B'!$B:$B,"FY19-Q2",'Raw Commercial Country SnS+B2B'!$C:$C,"RUSSIA")),"")</f>
        <v>0.15099009900990099</v>
      </c>
      <c r="I36" s="253">
        <f>SUMIFS('Raw Commercial Country SnS+B2B'!$G:$G,'Raw Commercial Country SnS+B2B'!$B:$B,"FY20-Q2",'Raw Commercial Country SnS+B2B'!$C:$C,"RUSSIA")</f>
        <v>20284</v>
      </c>
      <c r="J36" s="225">
        <f>IFERROR(((SUMIFS('Raw Commercial Country SnS+B2B'!$G:$G,'Raw Commercial Country SnS+B2B'!$B:$B,"FY20-Q2",'Raw Commercial Country SnS+B2B'!$C:$C,"RUSSIA")-SUMIFS('Raw Commercial Country SnS+B2B'!$G:$G,'Raw Commercial Country SnS+B2B'!$B:$B,"FY19-Q2",'Raw Commercial Country SnS+B2B'!$C:$C,"RUSSIA")))/(SUMIFS('Raw Commercial Country SnS+B2B'!$G:$G,'Raw Commercial Country SnS+B2B'!$B:$B,"FY19-Q2",'Raw Commercial Country SnS+B2B'!$C:$C,"RUSSIA")),"")</f>
        <v>0.15335190765906637</v>
      </c>
      <c r="K36" s="180"/>
      <c r="L36" s="224">
        <f>SUMIFS('Raw Commercial Country SnS+B2B'!$H:$H,'Raw Commercial Country SnS+B2B'!$B:$B,"FY20-Q3",'Raw Commercial Country SnS+B2B'!$C:$C,"RUSSIA")</f>
        <v>497</v>
      </c>
      <c r="M36" s="263" t="str">
        <f t="shared" si="0"/>
        <v/>
      </c>
      <c r="N36" s="266"/>
      <c r="O36" s="225" t="str">
        <f t="shared" si="1"/>
        <v/>
      </c>
      <c r="P36" s="262">
        <f t="shared" si="2"/>
        <v>21298.2</v>
      </c>
      <c r="Q36" s="253">
        <f>SUMIFS('Raw Commercial Country SnS+B2B'!$G:$G,'Raw Commercial Country SnS+B2B'!$B:$B,"FY20-Q3",'Raw Commercial Country SnS+B2B'!$C:$C,"RUSSIA")</f>
        <v>27272</v>
      </c>
      <c r="R36" s="263">
        <f t="shared" si="3"/>
        <v>1.2804837967527771</v>
      </c>
      <c r="S36" s="266"/>
      <c r="T36" s="225">
        <f t="shared" si="4"/>
        <v>0.28048379675277718</v>
      </c>
      <c r="U36" s="180"/>
      <c r="V36" s="226">
        <f>IFERROR(((U36-SUMIFS('Raw Commercial Country SnS+B2B'!$H:$H,'Raw Commercial Country SnS+B2B'!$B:$B,"FY19-Q4",'Raw Commercial Country SnS+B2B'!$C:$C,"RUSSIA")))/(SUMIFS('Raw Commercial Country SnS+B2B'!$H:$H,'Raw Commercial Country SnS+B2B'!$B:$B,"FY19-Q4",'Raw Commercial Country SnS+B2B'!$C:$C,"RUSSIA")),"")</f>
        <v>-1</v>
      </c>
      <c r="W36" s="244"/>
      <c r="X36" s="225">
        <f>IFERROR(((W36-SUMIFS('Raw Commercial Country SnS+B2B'!$G:$G,'Raw Commercial Country SnS+B2B'!$B:$B,"FY19-Q4",'Raw Commercial Country SnS+B2B'!$C:$C,"RUSSIA")))/(SUMIFS('Raw Commercial Country SnS+B2B'!$G:$G,'Raw Commercial Country SnS+B2B'!$B:$B,"FY19-Q4",'Raw Commercial Country SnS+B2B'!$C:$C,"RUSSIA")),"")</f>
        <v>-1</v>
      </c>
    </row>
  </sheetData>
  <mergeCells count="5">
    <mergeCell ref="B31:B35"/>
    <mergeCell ref="B18:B28"/>
    <mergeCell ref="B14:B17"/>
    <mergeCell ref="B6:B9"/>
    <mergeCell ref="B10:B13"/>
  </mergeCells>
  <conditionalFormatting sqref="H36">
    <cfRule type="cellIs" dxfId="152" priority="131" stopIfTrue="1" operator="greaterThan">
      <formula>0</formula>
    </cfRule>
    <cfRule type="cellIs" dxfId="151" priority="132" stopIfTrue="1" operator="lessThan">
      <formula>0</formula>
    </cfRule>
  </conditionalFormatting>
  <conditionalFormatting sqref="H36">
    <cfRule type="cellIs" dxfId="150" priority="130" operator="lessThanOrEqual">
      <formula>-0.1</formula>
    </cfRule>
  </conditionalFormatting>
  <conditionalFormatting sqref="F6:F17">
    <cfRule type="cellIs" dxfId="149" priority="161" stopIfTrue="1" operator="greaterThan">
      <formula>0</formula>
    </cfRule>
    <cfRule type="cellIs" dxfId="148" priority="162" stopIfTrue="1" operator="lessThan">
      <formula>0</formula>
    </cfRule>
  </conditionalFormatting>
  <conditionalFormatting sqref="F6:F17">
    <cfRule type="cellIs" dxfId="147" priority="160" operator="lessThanOrEqual">
      <formula>-0.1</formula>
    </cfRule>
  </conditionalFormatting>
  <conditionalFormatting sqref="J6:J17">
    <cfRule type="cellIs" dxfId="146" priority="158" stopIfTrue="1" operator="greaterThan">
      <formula>0</formula>
    </cfRule>
    <cfRule type="cellIs" dxfId="145" priority="159" stopIfTrue="1" operator="lessThan">
      <formula>0</formula>
    </cfRule>
  </conditionalFormatting>
  <conditionalFormatting sqref="J6:J17">
    <cfRule type="cellIs" dxfId="144" priority="157" operator="lessThanOrEqual">
      <formula>-0.1</formula>
    </cfRule>
  </conditionalFormatting>
  <conditionalFormatting sqref="H6:H17">
    <cfRule type="cellIs" dxfId="143" priority="155" stopIfTrue="1" operator="greaterThan">
      <formula>0</formula>
    </cfRule>
    <cfRule type="cellIs" dxfId="142" priority="156" stopIfTrue="1" operator="lessThan">
      <formula>0</formula>
    </cfRule>
  </conditionalFormatting>
  <conditionalFormatting sqref="H6:H17">
    <cfRule type="cellIs" dxfId="141" priority="154" operator="lessThanOrEqual">
      <formula>-0.1</formula>
    </cfRule>
  </conditionalFormatting>
  <conditionalFormatting sqref="V6:V30 V36">
    <cfRule type="cellIs" dxfId="140" priority="152" stopIfTrue="1" operator="greaterThan">
      <formula>0</formula>
    </cfRule>
    <cfRule type="cellIs" dxfId="139" priority="153" stopIfTrue="1" operator="lessThan">
      <formula>0</formula>
    </cfRule>
  </conditionalFormatting>
  <conditionalFormatting sqref="V6:V30 V36">
    <cfRule type="cellIs" dxfId="138" priority="151" operator="lessThanOrEqual">
      <formula>-0.1</formula>
    </cfRule>
  </conditionalFormatting>
  <conditionalFormatting sqref="X6:X30 X36">
    <cfRule type="cellIs" dxfId="137" priority="149" stopIfTrue="1" operator="greaterThan">
      <formula>0</formula>
    </cfRule>
    <cfRule type="cellIs" dxfId="136" priority="150" stopIfTrue="1" operator="lessThan">
      <formula>0</formula>
    </cfRule>
  </conditionalFormatting>
  <conditionalFormatting sqref="X6:X30 X36">
    <cfRule type="cellIs" dxfId="135" priority="148" operator="lessThanOrEqual">
      <formula>-0.1</formula>
    </cfRule>
  </conditionalFormatting>
  <conditionalFormatting sqref="F29">
    <cfRule type="cellIs" dxfId="134" priority="128" stopIfTrue="1" operator="greaterThan">
      <formula>0</formula>
    </cfRule>
    <cfRule type="cellIs" dxfId="133" priority="129" stopIfTrue="1" operator="lessThan">
      <formula>0</formula>
    </cfRule>
  </conditionalFormatting>
  <conditionalFormatting sqref="F29">
    <cfRule type="cellIs" dxfId="132" priority="127" operator="lessThanOrEqual">
      <formula>-0.1</formula>
    </cfRule>
  </conditionalFormatting>
  <conditionalFormatting sqref="J29">
    <cfRule type="cellIs" dxfId="131" priority="125" stopIfTrue="1" operator="greaterThan">
      <formula>0</formula>
    </cfRule>
    <cfRule type="cellIs" dxfId="130" priority="126" stopIfTrue="1" operator="lessThan">
      <formula>0</formula>
    </cfRule>
  </conditionalFormatting>
  <conditionalFormatting sqref="J29">
    <cfRule type="cellIs" dxfId="129" priority="124" operator="lessThanOrEqual">
      <formula>-0.1</formula>
    </cfRule>
  </conditionalFormatting>
  <conditionalFormatting sqref="H29">
    <cfRule type="cellIs" dxfId="128" priority="122" stopIfTrue="1" operator="greaterThan">
      <formula>0</formula>
    </cfRule>
    <cfRule type="cellIs" dxfId="127" priority="123" stopIfTrue="1" operator="lessThan">
      <formula>0</formula>
    </cfRule>
  </conditionalFormatting>
  <conditionalFormatting sqref="H29">
    <cfRule type="cellIs" dxfId="126" priority="121" operator="lessThanOrEqual">
      <formula>-0.1</formula>
    </cfRule>
  </conditionalFormatting>
  <conditionalFormatting sqref="F36">
    <cfRule type="cellIs" dxfId="125" priority="137" stopIfTrue="1" operator="greaterThan">
      <formula>0</formula>
    </cfRule>
    <cfRule type="cellIs" dxfId="124" priority="138" stopIfTrue="1" operator="lessThan">
      <formula>0</formula>
    </cfRule>
  </conditionalFormatting>
  <conditionalFormatting sqref="F36">
    <cfRule type="cellIs" dxfId="123" priority="136" operator="lessThanOrEqual">
      <formula>-0.1</formula>
    </cfRule>
  </conditionalFormatting>
  <conditionalFormatting sqref="J36">
    <cfRule type="cellIs" dxfId="122" priority="134" stopIfTrue="1" operator="greaterThan">
      <formula>0</formula>
    </cfRule>
    <cfRule type="cellIs" dxfId="121" priority="135" stopIfTrue="1" operator="lessThan">
      <formula>0</formula>
    </cfRule>
  </conditionalFormatting>
  <conditionalFormatting sqref="J36">
    <cfRule type="cellIs" dxfId="120" priority="133" operator="lessThanOrEqual">
      <formula>-0.1</formula>
    </cfRule>
  </conditionalFormatting>
  <conditionalFormatting sqref="F30">
    <cfRule type="cellIs" dxfId="119" priority="119" stopIfTrue="1" operator="greaterThan">
      <formula>0</formula>
    </cfRule>
    <cfRule type="cellIs" dxfId="118" priority="120" stopIfTrue="1" operator="lessThan">
      <formula>0</formula>
    </cfRule>
  </conditionalFormatting>
  <conditionalFormatting sqref="F30">
    <cfRule type="cellIs" dxfId="117" priority="118" operator="lessThanOrEqual">
      <formula>-0.1</formula>
    </cfRule>
  </conditionalFormatting>
  <conditionalFormatting sqref="J30">
    <cfRule type="cellIs" dxfId="116" priority="116" stopIfTrue="1" operator="greaterThan">
      <formula>0</formula>
    </cfRule>
    <cfRule type="cellIs" dxfId="115" priority="117" stopIfTrue="1" operator="lessThan">
      <formula>0</formula>
    </cfRule>
  </conditionalFormatting>
  <conditionalFormatting sqref="J30">
    <cfRule type="cellIs" dxfId="114" priority="115" operator="lessThanOrEqual">
      <formula>-0.1</formula>
    </cfRule>
  </conditionalFormatting>
  <conditionalFormatting sqref="H30">
    <cfRule type="cellIs" dxfId="113" priority="113" stopIfTrue="1" operator="greaterThan">
      <formula>0</formula>
    </cfRule>
    <cfRule type="cellIs" dxfId="112" priority="114" stopIfTrue="1" operator="lessThan">
      <formula>0</formula>
    </cfRule>
  </conditionalFormatting>
  <conditionalFormatting sqref="H30">
    <cfRule type="cellIs" dxfId="111" priority="112" operator="lessThanOrEqual">
      <formula>-0.1</formula>
    </cfRule>
  </conditionalFormatting>
  <conditionalFormatting sqref="T6:T19 T21:T30 T36">
    <cfRule type="cellIs" dxfId="110" priority="107" stopIfTrue="1" operator="greaterThan">
      <formula>0</formula>
    </cfRule>
    <cfRule type="cellIs" dxfId="109" priority="108" stopIfTrue="1" operator="lessThan">
      <formula>0</formula>
    </cfRule>
  </conditionalFormatting>
  <conditionalFormatting sqref="T6:T19 T21:T30 T36">
    <cfRule type="cellIs" dxfId="108" priority="106" operator="lessThanOrEqual">
      <formula>-0.1</formula>
    </cfRule>
  </conditionalFormatting>
  <conditionalFormatting sqref="J18">
    <cfRule type="cellIs" dxfId="107" priority="101" stopIfTrue="1" operator="greaterThan">
      <formula>0</formula>
    </cfRule>
    <cfRule type="cellIs" dxfId="106" priority="102" stopIfTrue="1" operator="lessThan">
      <formula>0</formula>
    </cfRule>
  </conditionalFormatting>
  <conditionalFormatting sqref="J18">
    <cfRule type="cellIs" dxfId="105" priority="100" operator="lessThanOrEqual">
      <formula>-0.1</formula>
    </cfRule>
  </conditionalFormatting>
  <conditionalFormatting sqref="F18:F19">
    <cfRule type="cellIs" dxfId="104" priority="95" stopIfTrue="1" operator="greaterThan">
      <formula>0</formula>
    </cfRule>
    <cfRule type="cellIs" dxfId="103" priority="96" stopIfTrue="1" operator="lessThan">
      <formula>0</formula>
    </cfRule>
  </conditionalFormatting>
  <conditionalFormatting sqref="F18:F19">
    <cfRule type="cellIs" dxfId="102" priority="94" operator="lessThanOrEqual">
      <formula>-0.1</formula>
    </cfRule>
  </conditionalFormatting>
  <conditionalFormatting sqref="J19">
    <cfRule type="cellIs" dxfId="101" priority="92" stopIfTrue="1" operator="greaterThan">
      <formula>0</formula>
    </cfRule>
    <cfRule type="cellIs" dxfId="100" priority="93" stopIfTrue="1" operator="lessThan">
      <formula>0</formula>
    </cfRule>
  </conditionalFormatting>
  <conditionalFormatting sqref="J19">
    <cfRule type="cellIs" dxfId="99" priority="91" operator="lessThanOrEqual">
      <formula>-0.1</formula>
    </cfRule>
  </conditionalFormatting>
  <conditionalFormatting sqref="H18:H19">
    <cfRule type="cellIs" dxfId="98" priority="89" stopIfTrue="1" operator="greaterThan">
      <formula>0</formula>
    </cfRule>
    <cfRule type="cellIs" dxfId="97" priority="90" stopIfTrue="1" operator="lessThan">
      <formula>0</formula>
    </cfRule>
  </conditionalFormatting>
  <conditionalFormatting sqref="H18:H19">
    <cfRule type="cellIs" dxfId="96" priority="88" operator="lessThanOrEqual">
      <formula>-0.1</formula>
    </cfRule>
  </conditionalFormatting>
  <conditionalFormatting sqref="F21:F28">
    <cfRule type="cellIs" dxfId="95" priority="86" stopIfTrue="1" operator="greaterThan">
      <formula>0</formula>
    </cfRule>
    <cfRule type="cellIs" dxfId="94" priority="87" stopIfTrue="1" operator="lessThan">
      <formula>0</formula>
    </cfRule>
  </conditionalFormatting>
  <conditionalFormatting sqref="F21:F28">
    <cfRule type="cellIs" dxfId="93" priority="85" operator="lessThanOrEqual">
      <formula>-0.1</formula>
    </cfRule>
  </conditionalFormatting>
  <conditionalFormatting sqref="J21:J28">
    <cfRule type="cellIs" dxfId="92" priority="83" stopIfTrue="1" operator="greaterThan">
      <formula>0</formula>
    </cfRule>
    <cfRule type="cellIs" dxfId="91" priority="84" stopIfTrue="1" operator="lessThan">
      <formula>0</formula>
    </cfRule>
  </conditionalFormatting>
  <conditionalFormatting sqref="J21:J28">
    <cfRule type="cellIs" dxfId="90" priority="82" operator="lessThanOrEqual">
      <formula>-0.1</formula>
    </cfRule>
  </conditionalFormatting>
  <conditionalFormatting sqref="H21:H28">
    <cfRule type="cellIs" dxfId="89" priority="80" stopIfTrue="1" operator="greaterThan">
      <formula>0</formula>
    </cfRule>
    <cfRule type="cellIs" dxfId="88" priority="81" stopIfTrue="1" operator="lessThan">
      <formula>0</formula>
    </cfRule>
  </conditionalFormatting>
  <conditionalFormatting sqref="H21:H28">
    <cfRule type="cellIs" dxfId="87" priority="79" operator="lessThanOrEqual">
      <formula>-0.1</formula>
    </cfRule>
  </conditionalFormatting>
  <conditionalFormatting sqref="J20">
    <cfRule type="cellIs" dxfId="86" priority="65" stopIfTrue="1" operator="greaterThan">
      <formula>0</formula>
    </cfRule>
    <cfRule type="cellIs" dxfId="85" priority="66" stopIfTrue="1" operator="lessThan">
      <formula>0</formula>
    </cfRule>
  </conditionalFormatting>
  <conditionalFormatting sqref="J20">
    <cfRule type="cellIs" dxfId="84" priority="64" operator="lessThanOrEqual">
      <formula>-0.1</formula>
    </cfRule>
  </conditionalFormatting>
  <conditionalFormatting sqref="F20">
    <cfRule type="cellIs" dxfId="83" priority="62" stopIfTrue="1" operator="greaterThan">
      <formula>0</formula>
    </cfRule>
    <cfRule type="cellIs" dxfId="82" priority="63" stopIfTrue="1" operator="lessThan">
      <formula>0</formula>
    </cfRule>
  </conditionalFormatting>
  <conditionalFormatting sqref="F20">
    <cfRule type="cellIs" dxfId="81" priority="61" operator="lessThanOrEqual">
      <formula>-0.1</formula>
    </cfRule>
  </conditionalFormatting>
  <conditionalFormatting sqref="H20">
    <cfRule type="cellIs" dxfId="80" priority="59" stopIfTrue="1" operator="greaterThan">
      <formula>0</formula>
    </cfRule>
    <cfRule type="cellIs" dxfId="79" priority="60" stopIfTrue="1" operator="lessThan">
      <formula>0</formula>
    </cfRule>
  </conditionalFormatting>
  <conditionalFormatting sqref="H20">
    <cfRule type="cellIs" dxfId="78" priority="58" operator="lessThanOrEqual">
      <formula>-0.1</formula>
    </cfRule>
  </conditionalFormatting>
  <conditionalFormatting sqref="D6:D17">
    <cfRule type="cellIs" dxfId="77" priority="50" stopIfTrue="1" operator="greaterThan">
      <formula>0</formula>
    </cfRule>
    <cfRule type="cellIs" dxfId="76" priority="51" stopIfTrue="1" operator="lessThan">
      <formula>0</formula>
    </cfRule>
  </conditionalFormatting>
  <conditionalFormatting sqref="D6:D17">
    <cfRule type="cellIs" dxfId="75" priority="49" operator="lessThanOrEqual">
      <formula>-0.1</formula>
    </cfRule>
  </conditionalFormatting>
  <conditionalFormatting sqref="T20">
    <cfRule type="cellIs" dxfId="74" priority="53" stopIfTrue="1" operator="greaterThan">
      <formula>0</formula>
    </cfRule>
    <cfRule type="cellIs" dxfId="73" priority="54" stopIfTrue="1" operator="lessThan">
      <formula>0</formula>
    </cfRule>
  </conditionalFormatting>
  <conditionalFormatting sqref="T20">
    <cfRule type="cellIs" dxfId="72" priority="52" operator="lessThanOrEqual">
      <formula>-0.1</formula>
    </cfRule>
  </conditionalFormatting>
  <conditionalFormatting sqref="D29">
    <cfRule type="cellIs" dxfId="71" priority="44" stopIfTrue="1" operator="greaterThan">
      <formula>0</formula>
    </cfRule>
    <cfRule type="cellIs" dxfId="70" priority="45" stopIfTrue="1" operator="lessThan">
      <formula>0</formula>
    </cfRule>
  </conditionalFormatting>
  <conditionalFormatting sqref="D29">
    <cfRule type="cellIs" dxfId="69" priority="43" operator="lessThanOrEqual">
      <formula>-0.1</formula>
    </cfRule>
  </conditionalFormatting>
  <conditionalFormatting sqref="D36">
    <cfRule type="cellIs" dxfId="68" priority="47" stopIfTrue="1" operator="greaterThan">
      <formula>0</formula>
    </cfRule>
    <cfRule type="cellIs" dxfId="67" priority="48" stopIfTrue="1" operator="lessThan">
      <formula>0</formula>
    </cfRule>
  </conditionalFormatting>
  <conditionalFormatting sqref="D36">
    <cfRule type="cellIs" dxfId="66" priority="46" operator="lessThanOrEqual">
      <formula>-0.1</formula>
    </cfRule>
  </conditionalFormatting>
  <conditionalFormatting sqref="D30">
    <cfRule type="cellIs" dxfId="65" priority="41" stopIfTrue="1" operator="greaterThan">
      <formula>0</formula>
    </cfRule>
    <cfRule type="cellIs" dxfId="64" priority="42" stopIfTrue="1" operator="lessThan">
      <formula>0</formula>
    </cfRule>
  </conditionalFormatting>
  <conditionalFormatting sqref="D30">
    <cfRule type="cellIs" dxfId="63" priority="40" operator="lessThanOrEqual">
      <formula>-0.1</formula>
    </cfRule>
  </conditionalFormatting>
  <conditionalFormatting sqref="D18:D19">
    <cfRule type="cellIs" dxfId="62" priority="38" stopIfTrue="1" operator="greaterThan">
      <formula>0</formula>
    </cfRule>
    <cfRule type="cellIs" dxfId="61" priority="39" stopIfTrue="1" operator="lessThan">
      <formula>0</formula>
    </cfRule>
  </conditionalFormatting>
  <conditionalFormatting sqref="D18:D19">
    <cfRule type="cellIs" dxfId="60" priority="37" operator="lessThanOrEqual">
      <formula>-0.1</formula>
    </cfRule>
  </conditionalFormatting>
  <conditionalFormatting sqref="D21:D28">
    <cfRule type="cellIs" dxfId="59" priority="35" stopIfTrue="1" operator="greaterThan">
      <formula>0</formula>
    </cfRule>
    <cfRule type="cellIs" dxfId="58" priority="36" stopIfTrue="1" operator="lessThan">
      <formula>0</formula>
    </cfRule>
  </conditionalFormatting>
  <conditionalFormatting sqref="D21:D28">
    <cfRule type="cellIs" dxfId="57" priority="34" operator="lessThanOrEqual">
      <formula>-0.1</formula>
    </cfRule>
  </conditionalFormatting>
  <conditionalFormatting sqref="D20">
    <cfRule type="cellIs" dxfId="56" priority="32" stopIfTrue="1" operator="greaterThan">
      <formula>0</formula>
    </cfRule>
    <cfRule type="cellIs" dxfId="55" priority="33" stopIfTrue="1" operator="lessThan">
      <formula>0</formula>
    </cfRule>
  </conditionalFormatting>
  <conditionalFormatting sqref="D20">
    <cfRule type="cellIs" dxfId="54" priority="31" operator="lessThanOrEqual">
      <formula>-0.1</formula>
    </cfRule>
  </conditionalFormatting>
  <conditionalFormatting sqref="O20">
    <cfRule type="cellIs" dxfId="53" priority="25" operator="lessThanOrEqual">
      <formula>-0.1</formula>
    </cfRule>
  </conditionalFormatting>
  <conditionalFormatting sqref="O6:O19 O21:O30 O36">
    <cfRule type="cellIs" dxfId="52" priority="29" stopIfTrue="1" operator="greaterThan">
      <formula>0</formula>
    </cfRule>
    <cfRule type="cellIs" dxfId="51" priority="30" stopIfTrue="1" operator="lessThan">
      <formula>0</formula>
    </cfRule>
  </conditionalFormatting>
  <conditionalFormatting sqref="O6:O19 O21:O30 O36">
    <cfRule type="cellIs" dxfId="50" priority="28" operator="lessThanOrEqual">
      <formula>-0.1</formula>
    </cfRule>
  </conditionalFormatting>
  <conditionalFormatting sqref="O20">
    <cfRule type="cellIs" dxfId="49" priority="26" stopIfTrue="1" operator="greaterThan">
      <formula>0</formula>
    </cfRule>
    <cfRule type="cellIs" dxfId="48" priority="27" stopIfTrue="1" operator="lessThan">
      <formula>0</formula>
    </cfRule>
  </conditionalFormatting>
  <conditionalFormatting sqref="V31:V35">
    <cfRule type="cellIs" dxfId="47" priority="23" stopIfTrue="1" operator="greaterThan">
      <formula>0</formula>
    </cfRule>
    <cfRule type="cellIs" dxfId="46" priority="24" stopIfTrue="1" operator="lessThan">
      <formula>0</formula>
    </cfRule>
  </conditionalFormatting>
  <conditionalFormatting sqref="V31:V35">
    <cfRule type="cellIs" dxfId="45" priority="22" operator="lessThanOrEqual">
      <formula>-0.1</formula>
    </cfRule>
  </conditionalFormatting>
  <conditionalFormatting sqref="X31:X35">
    <cfRule type="cellIs" dxfId="44" priority="20" stopIfTrue="1" operator="greaterThan">
      <formula>0</formula>
    </cfRule>
    <cfRule type="cellIs" dxfId="43" priority="21" stopIfTrue="1" operator="lessThan">
      <formula>0</formula>
    </cfRule>
  </conditionalFormatting>
  <conditionalFormatting sqref="X31:X35">
    <cfRule type="cellIs" dxfId="42" priority="19" operator="lessThanOrEqual">
      <formula>-0.1</formula>
    </cfRule>
  </conditionalFormatting>
  <conditionalFormatting sqref="F31:F35">
    <cfRule type="cellIs" dxfId="41" priority="17" stopIfTrue="1" operator="greaterThan">
      <formula>0</formula>
    </cfRule>
    <cfRule type="cellIs" dxfId="40" priority="18" stopIfTrue="1" operator="lessThan">
      <formula>0</formula>
    </cfRule>
  </conditionalFormatting>
  <conditionalFormatting sqref="F31:F35">
    <cfRule type="cellIs" dxfId="39" priority="16" operator="lessThanOrEqual">
      <formula>-0.1</formula>
    </cfRule>
  </conditionalFormatting>
  <conditionalFormatting sqref="J31:J35">
    <cfRule type="cellIs" dxfId="38" priority="14" stopIfTrue="1" operator="greaterThan">
      <formula>0</formula>
    </cfRule>
    <cfRule type="cellIs" dxfId="37" priority="15" stopIfTrue="1" operator="lessThan">
      <formula>0</formula>
    </cfRule>
  </conditionalFormatting>
  <conditionalFormatting sqref="J31:J35">
    <cfRule type="cellIs" dxfId="36" priority="13" operator="lessThanOrEqual">
      <formula>-0.1</formula>
    </cfRule>
  </conditionalFormatting>
  <conditionalFormatting sqref="H31:H35">
    <cfRule type="cellIs" dxfId="35" priority="11" stopIfTrue="1" operator="greaterThan">
      <formula>0</formula>
    </cfRule>
    <cfRule type="cellIs" dxfId="34" priority="12" stopIfTrue="1" operator="lessThan">
      <formula>0</formula>
    </cfRule>
  </conditionalFormatting>
  <conditionalFormatting sqref="H31:H35">
    <cfRule type="cellIs" dxfId="33" priority="10" operator="lessThanOrEqual">
      <formula>-0.1</formula>
    </cfRule>
  </conditionalFormatting>
  <conditionalFormatting sqref="T31:T35">
    <cfRule type="cellIs" dxfId="32" priority="8" stopIfTrue="1" operator="greaterThan">
      <formula>0</formula>
    </cfRule>
    <cfRule type="cellIs" dxfId="31" priority="9" stopIfTrue="1" operator="lessThan">
      <formula>0</formula>
    </cfRule>
  </conditionalFormatting>
  <conditionalFormatting sqref="T31:T35">
    <cfRule type="cellIs" dxfId="30" priority="7" operator="lessThanOrEqual">
      <formula>-0.1</formula>
    </cfRule>
  </conditionalFormatting>
  <conditionalFormatting sqref="D31:D35">
    <cfRule type="cellIs" dxfId="29" priority="5" stopIfTrue="1" operator="greaterThan">
      <formula>0</formula>
    </cfRule>
    <cfRule type="cellIs" dxfId="28" priority="6" stopIfTrue="1" operator="lessThan">
      <formula>0</formula>
    </cfRule>
  </conditionalFormatting>
  <conditionalFormatting sqref="D31:D35">
    <cfRule type="cellIs" dxfId="27" priority="4" operator="lessThanOrEqual">
      <formula>-0.1</formula>
    </cfRule>
  </conditionalFormatting>
  <conditionalFormatting sqref="O31:O35">
    <cfRule type="cellIs" dxfId="26" priority="2" stopIfTrue="1" operator="greaterThan">
      <formula>0</formula>
    </cfRule>
    <cfRule type="cellIs" dxfId="25" priority="3" stopIfTrue="1" operator="lessThan">
      <formula>0</formula>
    </cfRule>
  </conditionalFormatting>
  <conditionalFormatting sqref="O31:O35">
    <cfRule type="cellIs" dxfId="24" priority="1" operator="lessThanOrEqual">
      <formula>-0.1</formula>
    </cfRule>
  </conditionalFormatting>
  <pageMargins left="0.7" right="0.7" top="0.75" bottom="0.75" header="0.3" footer="0.3"/>
  <pageSetup paperSize="9" orientation="portrait" r:id="rId1"/>
  <headerFooter>
    <oddFooter>&amp;L&amp;1#&amp;"Calibri"&amp;6&amp;K7F7F7FInternal Use - Confidential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9"/>
  <sheetViews>
    <sheetView showGridLines="0" tabSelected="1" topLeftCell="A16" zoomScaleNormal="100" workbookViewId="0">
      <selection activeCell="AB20" sqref="AB20"/>
    </sheetView>
  </sheetViews>
  <sheetFormatPr baseColWidth="10" defaultRowHeight="15" outlineLevelCol="1" x14ac:dyDescent="0.25"/>
  <cols>
    <col min="1" max="1" width="15.28515625" bestFit="1" customWidth="1"/>
    <col min="3" max="10" width="11.42578125" hidden="1" customWidth="1" outlineLevel="1"/>
    <col min="11" max="11" width="11.42578125" collapsed="1"/>
    <col min="25" max="25" width="0" hidden="1" customWidth="1"/>
  </cols>
  <sheetData>
    <row r="1" spans="1:25" ht="27.75" customHeight="1" thickBot="1" x14ac:dyDescent="0.3">
      <c r="A1" s="351" t="s">
        <v>51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3"/>
    </row>
    <row r="2" spans="1:25" x14ac:dyDescent="0.25">
      <c r="A2" s="87" t="s">
        <v>192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</row>
    <row r="3" spans="1:25" ht="15.75" thickBot="1" x14ac:dyDescent="0.3">
      <c r="B3" s="360" t="s">
        <v>222</v>
      </c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Y3" s="264">
        <v>1</v>
      </c>
    </row>
    <row r="4" spans="1:25" ht="15.75" thickBot="1" x14ac:dyDescent="0.3">
      <c r="C4" s="354" t="s">
        <v>25</v>
      </c>
      <c r="D4" s="355"/>
      <c r="E4" s="355"/>
      <c r="F4" s="355"/>
      <c r="G4" s="354" t="s">
        <v>28</v>
      </c>
      <c r="H4" s="355"/>
      <c r="I4" s="355"/>
      <c r="J4" s="355"/>
      <c r="K4" s="341" t="s">
        <v>47</v>
      </c>
      <c r="L4" s="342"/>
      <c r="M4" s="342"/>
      <c r="N4" s="342"/>
      <c r="O4" s="342"/>
      <c r="P4" s="342"/>
      <c r="Q4" s="342"/>
      <c r="R4" s="342"/>
      <c r="S4" s="342"/>
      <c r="T4" s="343"/>
      <c r="U4" s="356" t="s">
        <v>48</v>
      </c>
      <c r="V4" s="357"/>
      <c r="W4" s="357"/>
      <c r="X4" s="358"/>
    </row>
    <row r="5" spans="1:25" s="159" customFormat="1" ht="51.75" thickBot="1" x14ac:dyDescent="0.25">
      <c r="A5" s="158" t="s">
        <v>0</v>
      </c>
      <c r="B5" s="158" t="s">
        <v>54</v>
      </c>
      <c r="C5" s="189" t="s">
        <v>31</v>
      </c>
      <c r="D5" s="190" t="s">
        <v>29</v>
      </c>
      <c r="E5" s="190" t="s">
        <v>26</v>
      </c>
      <c r="F5" s="191" t="s">
        <v>27</v>
      </c>
      <c r="G5" s="189" t="s">
        <v>31</v>
      </c>
      <c r="H5" s="190" t="s">
        <v>29</v>
      </c>
      <c r="I5" s="190" t="s">
        <v>26</v>
      </c>
      <c r="J5" s="191" t="s">
        <v>27</v>
      </c>
      <c r="K5" s="279" t="s">
        <v>218</v>
      </c>
      <c r="L5" s="280" t="s">
        <v>217</v>
      </c>
      <c r="M5" s="281" t="s">
        <v>219</v>
      </c>
      <c r="N5" s="281" t="s">
        <v>220</v>
      </c>
      <c r="O5" s="282" t="s">
        <v>29</v>
      </c>
      <c r="P5" s="297" t="s">
        <v>33</v>
      </c>
      <c r="Q5" s="298" t="s">
        <v>191</v>
      </c>
      <c r="R5" s="281" t="s">
        <v>219</v>
      </c>
      <c r="S5" s="281" t="s">
        <v>220</v>
      </c>
      <c r="T5" s="298" t="s">
        <v>27</v>
      </c>
      <c r="U5" s="299" t="s">
        <v>34</v>
      </c>
      <c r="V5" s="292" t="s">
        <v>29</v>
      </c>
      <c r="W5" s="197" t="s">
        <v>26</v>
      </c>
      <c r="X5" s="198" t="s">
        <v>27</v>
      </c>
    </row>
    <row r="6" spans="1:25" ht="25.5" customHeight="1" thickBot="1" x14ac:dyDescent="0.3">
      <c r="A6" s="165" t="s">
        <v>55</v>
      </c>
      <c r="B6" s="332" t="s">
        <v>50</v>
      </c>
      <c r="C6" s="163">
        <f>SUMIFS('Raw CSG Country SnS'!$H:$H,'Raw CSG Country SnS'!$B:$B,"FY20-Q1",'Raw CSG Country SnS'!$C:$C,"ITALY")</f>
        <v>2791</v>
      </c>
      <c r="D6" s="208">
        <f>IFERROR(((SUMIFS('Raw CSG Country SnS'!$H:$H,'Raw CSG Country SnS'!$B:$B,"FY20-Q1",'Raw CSG Country SnS'!$C:$C,"ITALY")-SUMIFS('Raw CSG Country SnS'!$H:$H,'Raw CSG Country SnS'!$B:$B,"FY19-Q1",'Raw CSG Country SnS'!$C:$C,"ITALY")))/(SUMIFS('Raw CSG Country SnS'!$H:$H,'Raw CSG Country SnS'!$B:$B,"FY19-Q1",'Raw CSG Country SnS'!$C:$C,"ITALY")),"")</f>
        <v>0.1213338690237043</v>
      </c>
      <c r="E6" s="245">
        <f>SUMIFS('Raw CSG Country SnS'!$G:$G,'Raw CSG Country SnS'!$B:$B,"FY20-Q1",'Raw CSG Country SnS'!$C:$C,"ITALY")</f>
        <v>9161</v>
      </c>
      <c r="F6" s="208">
        <f>IFERROR(((SUMIFS('Raw CSG Country SnS'!$G:$G,'Raw CSG Country SnS'!$B:$B,"FY20-Q1",'Raw CSG Country SnS'!$C:$C,"ITALY")-SUMIFS('Raw CSG Country SnS'!$G:$G,'Raw CSG Country SnS'!$B:$B,"FY19-Q1",'Raw CSG Country SnS'!$C:$C,"ITALY")))/(SUMIFS('Raw CSG Country SnS'!$G:$G,'Raw CSG Country SnS'!$B:$B,"FY19-Q1",'Raw CSG Country SnS'!$C:$C,"ITALY")),"")</f>
        <v>2.5169621361348215E-3</v>
      </c>
      <c r="G6" s="163">
        <f>SUMIFS('Raw CSG Country SnS'!$H:$H,'Raw CSG Country SnS'!$B:$B,"FY20-Q2",'Raw CSG Country SnS'!$C:$C,"ITALY")</f>
        <v>2737</v>
      </c>
      <c r="H6" s="200">
        <f>IFERROR(((SUMIFS('Raw CSG Country SnS'!$H:$H,'Raw CSG Country SnS'!$B:$B,"FY20-Q2",'Raw CSG Country SnS'!$C:$C,"ITALY")-SUMIFS('Raw CSG Country SnS'!$H:$H,'Raw CSG Country SnS'!$B:$B,"FY19-Q2",'Raw CSG Country SnS'!$C:$C,"ITALY")))/(SUMIFS('Raw CSG Country SnS'!$H:$H,'Raw CSG Country SnS'!$B:$B,"FY19-Q2",'Raw CSG Country SnS'!$C:$C,"ITALY")),"")</f>
        <v>3.9893617021276598E-2</v>
      </c>
      <c r="I6" s="245">
        <f>SUMIFS('Raw CSG Country SnS'!$G:$G,'Raw CSG Country SnS'!$B:$B,"FY20-Q2",'Raw CSG Country SnS'!$C:$C,"ITALY")</f>
        <v>8240</v>
      </c>
      <c r="J6" s="283">
        <f>IFERROR(((SUMIFS('Raw CSG Country SnS'!$G:$G,'Raw CSG Country SnS'!$B:$B,"FY20-Q2",'Raw CSG Country SnS'!$C:$C,"ITALY")-SUMIFS('Raw CSG Country SnS'!$G:$G,'Raw CSG Country SnS'!$B:$B,"FY19-Q2",'Raw CSG Country SnS'!$C:$C,"ITALY")))/(SUMIFS('Raw CSG Country SnS'!$G:$G,'Raw CSG Country SnS'!$B:$B,"FY19-Q2",'Raw CSG Country SnS'!$C:$C,"ITALY")),"")</f>
        <v>-6.3742756504942627E-2</v>
      </c>
      <c r="K6" s="289">
        <f>C6*(1.05)</f>
        <v>2930.55</v>
      </c>
      <c r="L6" s="286">
        <f>SUMIFS('Raw CSG Country SnS'!$H:$H,'Raw CSG Country SnS'!$B:$B,"FY20-Q3",'Raw CSG Country SnS'!$C:$C,"ITALY")</f>
        <v>2634</v>
      </c>
      <c r="M6" s="265">
        <f>IFERROR(L6/K6,"")</f>
        <v>0.89880739110405894</v>
      </c>
      <c r="N6" s="303" t="str">
        <f>IFERROR(IF(M6&gt;=99%,"Target Achieved","Target Missed"),"")</f>
        <v>Target Missed</v>
      </c>
      <c r="O6" s="300">
        <f>IFERROR((L6-K6)/K6,"")</f>
        <v>-0.10119260889594109</v>
      </c>
      <c r="P6" s="293">
        <f>I6*(1.05)</f>
        <v>8652</v>
      </c>
      <c r="Q6" s="294">
        <f>SUMIFS('Raw CSG Country SnS'!$G:$G,'Raw CSG Country SnS'!$B:$B,"FY20-Q3",'Raw CSG Country SnS'!$C:$C,"ITALY")</f>
        <v>8667</v>
      </c>
      <c r="R6" s="295">
        <f>IFERROR(Q6/P6,"")</f>
        <v>1.001733703190014</v>
      </c>
      <c r="S6" s="303" t="str">
        <f>IFERROR(IF(R6&gt;=99%,"Target Achieved","Target Missed"),"")</f>
        <v>Target Achieved</v>
      </c>
      <c r="T6" s="300">
        <f>IFERROR((Q6-P6)/P6,"")</f>
        <v>1.7337031900138697E-3</v>
      </c>
      <c r="U6" s="296"/>
      <c r="V6" s="200">
        <f>IFERROR(((U6-SUMIFS('Raw CSG Country SnS'!$H:$H,'Raw CSG Country SnS'!$B:$B,"FY19-Q4",'Raw CSG Country SnS'!$C:$C,"ITALY")))/(SUMIFS('Raw CSG Country SnS'!$H:$H,'Raw CSG Country SnS'!$B:$B,"FY19-Q4",'Raw CSG Country SnS'!$C:$C,"ITALY")),"")</f>
        <v>-1</v>
      </c>
      <c r="W6" s="237"/>
      <c r="X6" s="208">
        <f>IFERROR(((W6-SUMIFS('Raw CSG Country SnS'!$G:$G,'Raw CSG Country SnS'!$B:$B,"FY19-Q4",'Raw CSG Country SnS'!$C:$C,"ITALY")))/(SUMIFS('Raw CSG Country SnS'!$G:$G,'Raw CSG Country SnS'!$B:$B,"FY19-Q4",'Raw CSG Country SnS'!$C:$C,"ITALY")),"")</f>
        <v>-1</v>
      </c>
    </row>
    <row r="7" spans="1:25" ht="15.2" customHeight="1" x14ac:dyDescent="0.25">
      <c r="A7" s="271" t="s">
        <v>59</v>
      </c>
      <c r="B7" s="333"/>
      <c r="C7" s="202">
        <f>SUMIFS('Raw CSG Italy SnS'!$H:$H,'Raw CSG Italy SnS'!$B:$B,"FY20-Q1",'Raw CSG Italy SnS'!$C:$C,"ITALY",'Raw CSG Italy SnS'!$D:$D,"*computer gross*")</f>
        <v>1168</v>
      </c>
      <c r="D7" s="204">
        <f>IFERROR(((SUMIFS('Raw CSG Italy SnS'!$H:$H,'Raw CSG Italy SnS'!$B:$B,"FY20-Q1",'Raw CSG Italy SnS'!$C:$C,"ITALY",'Raw CSG Italy SnS'!$D:$D,"*computer gross*")-SUMIFS('Raw CSG Italy SnS'!$H:$H,'Raw CSG Italy SnS'!$B:$B,"FY19-Q1",'Raw CSG Italy SnS'!$C:$C,"ITALY",'Raw CSG Italy SnS'!$D:$D,"*computer gross*")))/(SUMIFS('Raw CSG Italy SnS'!$H:$H,'Raw CSG Italy SnS'!$B:$B,"FY19-Q1",'Raw CSG Italy SnS'!$C:$C,"ITALY",'Raw CSG Italy SnS'!$D:$D,"*computer gross*")),"")</f>
        <v>-1.1844331641285956E-2</v>
      </c>
      <c r="E7" s="246">
        <f>SUMIFS('Raw CSG Italy SnS'!$G:$G,'Raw CSG Italy SnS'!$B:$B,"FY20-Q1",'Raw CSG Italy SnS'!$C:$C,"ITALY",'Raw CSG Italy SnS'!$D:$D,"*computer gross*")</f>
        <v>6801</v>
      </c>
      <c r="F7" s="204">
        <f>IFERROR(((SUMIFS('Raw CSG Italy SnS'!$G:$G,'Raw CSG Italy SnS'!$B:$B,"FY20-Q1",'Raw CSG Italy SnS'!$C:$C,"ITALY",'Raw CSG Italy SnS'!$D:$D,"*computer gross*")-SUMIFS('Raw CSG Italy SnS'!$G:$G,'Raw CSG Italy SnS'!$B:$B,"FY19-Q1",'Raw CSG Italy SnS'!$C:$C,"ITALY",'Raw CSG Italy SnS'!$D:$D,"*computer gross*")))/(SUMIFS('Raw CSG Italy SnS'!$G:$G,'Raw CSG Italy SnS'!$B:$B,"FY19-Q1",'Raw CSG Italy SnS'!$C:$C,"ITALY",'Raw CSG Italy SnS'!$D:$D,"*computer gross*")),"")</f>
        <v>6.6321730950141114E-2</v>
      </c>
      <c r="G7" s="202">
        <f>SUMIFS('Raw CSG Italy SnS'!$H:$H,'Raw CSG Italy SnS'!$B:$B,"FY20-Q2",'Raw CSG Italy SnS'!$C:$C,"ITALY",'Raw CSG Italy SnS'!$D:$D,"*computer gross*")</f>
        <v>1183</v>
      </c>
      <c r="H7" s="199">
        <f>IFERROR(((SUMIFS('Raw CSG Italy SnS'!$H:$H,'Raw CSG Italy SnS'!$B:$B,"FY20-Q2",'Raw CSG Italy SnS'!$C:$C,"ITALY",'Raw CSG Italy SnS'!$D:$D,"*computer gross*")-SUMIFS('Raw CSG Italy SnS'!$H:$H,'Raw CSG Italy SnS'!$B:$B,"FY19-Q2",'Raw CSG Italy SnS'!$C:$C,"ITALY",'Raw CSG Italy SnS'!$D:$D,"*computer gross*")))/(SUMIFS('Raw CSG Italy SnS'!$H:$H,'Raw CSG Italy SnS'!$B:$B,"FY19-Q2",'Raw CSG Italy SnS'!$C:$C,"ITALY",'Raw CSG Italy SnS'!$D:$D,"*computer gross*")),"")</f>
        <v>1.3710368466152529E-2</v>
      </c>
      <c r="I7" s="246">
        <f>SUMIFS('Raw CSG Italy SnS'!$G:$G,'Raw CSG Italy SnS'!$B:$B,"FY20-Q2",'Raw CSG Italy SnS'!$C:$C,"ITALY",'Raw CSG Italy SnS'!$D:$D,"*computer gross*")</f>
        <v>6121</v>
      </c>
      <c r="J7" s="284">
        <f>IFERROR(((SUMIFS('Raw CSG Italy SnS'!$G:$G,'Raw CSG Italy SnS'!$B:$B,"FY20-Q2",'Raw CSG Italy SnS'!$C:$C,"ITALY",'Raw CSG Italy SnS'!$D:$D,"*computer gross*")-SUMIFS('Raw CSG Italy SnS'!$G:$G,'Raw CSG Italy SnS'!$B:$B,"FY19-Q2",'Raw CSG Italy SnS'!$C:$C,"ITALY",'Raw CSG Italy SnS'!$D:$D,"*computer gross*")))/(SUMIFS('Raw CSG Italy SnS'!$G:$G,'Raw CSG Italy SnS'!$B:$B,"FY19-Q2",'Raw CSG Italy SnS'!$C:$C,"ITALY",'Raw CSG Italy SnS'!$D:$D,"*computer gross*")),"")</f>
        <v>-4.4489541055260692E-2</v>
      </c>
      <c r="K7" s="290">
        <f t="shared" ref="K7:K10" si="0">C7*(1.05)</f>
        <v>1226.4000000000001</v>
      </c>
      <c r="L7" s="287">
        <f>SUMIFS('Raw CSG Italy SnS'!$H:$H,'Raw CSG Italy SnS'!$B:$B,"FY20-Q3",'Raw CSG Italy SnS'!$C:$C,"ITALY",'Raw CSG Italy SnS'!$D:$D,"*computer gross*")</f>
        <v>1199</v>
      </c>
      <c r="M7" s="265">
        <f>IFERROR(L7/K7,"")</f>
        <v>0.97765818656229608</v>
      </c>
      <c r="N7" s="304" t="str">
        <f t="shared" ref="N7:N10" si="1">IFERROR(IF(M7&gt;=99%,"Target Achieved","Target Missed"),"")</f>
        <v>Target Missed</v>
      </c>
      <c r="O7" s="301">
        <f>IFERROR((L7-K7)/K7,"")</f>
        <v>-2.234181343770392E-2</v>
      </c>
      <c r="P7" s="255">
        <f>I7*(1.05)</f>
        <v>6427.05</v>
      </c>
      <c r="Q7" s="269">
        <f>SUMIFS('Raw CSG Italy SnS'!$G:$G,'Raw CSG Italy SnS'!$B:$B,"FY20-Q3",'Raw CSG Italy SnS'!$C:$C,"ITALY",'Raw CSG Italy SnS'!$D:$D,"*computer gross*")</f>
        <v>6554</v>
      </c>
      <c r="R7" s="277">
        <f>IFERROR(Q7/P7,"")</f>
        <v>1.0197524525248753</v>
      </c>
      <c r="S7" s="304" t="str">
        <f t="shared" ref="S7:S10" si="2">IFERROR(IF(R7&gt;=99%,"Target Achieved","Target Missed"),"")</f>
        <v>Target Achieved</v>
      </c>
      <c r="T7" s="301">
        <f>IFERROR((Q7-P7)/P7,"")</f>
        <v>1.9752452524875303E-2</v>
      </c>
      <c r="U7" s="174"/>
      <c r="V7" s="199">
        <f>IFERROR(((U7-SUMIFS('Raw CSG Italy SnS'!$H:$H,'Raw CSG Italy SnS'!$B:$B,"FY19-Q4",'Raw CSG Italy SnS'!$C:$C,"ITALY",'Raw CSG Italy SnS'!$D:$D,"*computer gross*")))/(SUMIFS('Raw CSG Italy SnS'!$H:$H,'Raw CSG Italy SnS'!$B:$B,"FY19-Q4",'Raw CSG Italy SnS'!$C:$C,"ITALY",'Raw CSG Italy SnS'!$D:$D,"*computer gross*")),"")</f>
        <v>-1</v>
      </c>
      <c r="W7" s="238"/>
      <c r="X7" s="204">
        <f>IFERROR(((W7-SUMIFS('Raw CSG Italy SnS'!$G:$G,'Raw CSG Italy SnS'!$B:$B,"FY19-Q4",'Raw CSG Italy SnS'!$C:$C,"ITALY",'Raw CSG Italy SnS'!$D:$D,"*computer gross*")))/(SUMIFS('Raw CSG Italy SnS'!$G:$G,'Raw CSG Italy SnS'!$B:$B,"FY19-Q4",'Raw CSG Italy SnS'!$C:$C,"ITALY",'Raw CSG Italy SnS'!$D:$D,"*computer gross*")),"")</f>
        <v>-1</v>
      </c>
    </row>
    <row r="8" spans="1:25" ht="15.6" customHeight="1" x14ac:dyDescent="0.25">
      <c r="A8" s="272" t="s">
        <v>60</v>
      </c>
      <c r="B8" s="333"/>
      <c r="C8" s="202">
        <f>SUMIFS('Raw CSG Italy SnS'!$H:$H,'Raw CSG Italy SnS'!$B:$B,"FY20-Q1",'Raw CSG Italy SnS'!$C:$C,"ITALY",'Raw CSG Italy SnS'!$D:$D,"*datamatic*")</f>
        <v>581</v>
      </c>
      <c r="D8" s="204">
        <f>IFERROR(((SUMIFS('Raw CSG Italy SnS'!$H:$H,'Raw CSG Italy SnS'!$B:$B,"FY20-Q1",'Raw CSG Italy SnS'!$C:$C,"ITALY",'Raw CSG Italy SnS'!$D:$D,"*datamatic*")-SUMIFS('Raw CSG Italy SnS'!$H:$H,'Raw CSG Italy SnS'!$B:$B,"FY19-Q1",'Raw CSG Italy SnS'!$C:$C,"ITALY",'Raw CSG Italy SnS'!$D:$D,"*datamatic*")))/(SUMIFS('Raw CSG Italy SnS'!$H:$H,'Raw CSG Italy SnS'!$B:$B,"FY19-Q1",'Raw CSG Italy SnS'!$C:$C,"ITALY",'Raw CSG Italy SnS'!$D:$D,"*datamatic*")),"")</f>
        <v>4.4964028776978415E-2</v>
      </c>
      <c r="E8" s="246">
        <f>SUMIFS('Raw CSG Italy SnS'!$G:$G,'Raw CSG Italy SnS'!$B:$B,"FY20-Q1",'Raw CSG Italy SnS'!$C:$C,"ITALY",'Raw CSG Italy SnS'!$D:$D,"*datamatic*")</f>
        <v>5630</v>
      </c>
      <c r="F8" s="204">
        <f>IFERROR(((SUMIFS('Raw CSG Italy SnS'!$G:$G,'Raw CSG Italy SnS'!$B:$B,"FY20-Q1",'Raw CSG Italy SnS'!$C:$C,"ITALY",'Raw CSG Italy SnS'!$D:$D,"*datamatic*")-SUMIFS('Raw CSG Italy SnS'!$G:$G,'Raw CSG Italy SnS'!$B:$B,"FY19-Q1",'Raw CSG Italy SnS'!$C:$C,"ITALY",'Raw CSG Italy SnS'!$D:$D,"*datamatic*")))/(SUMIFS('Raw CSG Italy SnS'!$G:$G,'Raw CSG Italy SnS'!$B:$B,"FY19-Q1",'Raw CSG Italy SnS'!$C:$C,"ITALY",'Raw CSG Italy SnS'!$D:$D,"*datamatic*")),"")</f>
        <v>8.2068037670574662E-2</v>
      </c>
      <c r="G8" s="202">
        <f>SUMIFS('Raw CSG Italy SnS'!$H:$H,'Raw CSG Italy SnS'!$B:$B,"FY20-Q2",'Raw CSG Italy SnS'!$C:$C,"ITALY",'Raw CSG Italy SnS'!$D:$D,"*datamatic*")</f>
        <v>541</v>
      </c>
      <c r="H8" s="199">
        <f>IFERROR(((SUMIFS('Raw CSG Italy SnS'!$H:$H,'Raw CSG Italy SnS'!$B:$B,"FY20-Q2",'Raw CSG Italy SnS'!$C:$C,"ITALY",'Raw CSG Italy SnS'!$D:$D,"*datamatic*")-SUMIFS('Raw CSG Italy SnS'!$H:$H,'Raw CSG Italy SnS'!$B:$B,"FY19-Q2",'Raw CSG Italy SnS'!$C:$C,"ITALY",'Raw CSG Italy SnS'!$D:$D,"*datamatic*")))/(SUMIFS('Raw CSG Italy SnS'!$H:$H,'Raw CSG Italy SnS'!$B:$B,"FY19-Q2",'Raw CSG Italy SnS'!$C:$C,"ITALY",'Raw CSG Italy SnS'!$D:$D,"*datamatic*")),"")</f>
        <v>-0.10132890365448505</v>
      </c>
      <c r="I8" s="246">
        <f>SUMIFS('Raw CSG Italy SnS'!$G:$G,'Raw CSG Italy SnS'!$B:$B,"FY20-Q2",'Raw CSG Italy SnS'!$C:$C,"ITALY",'Raw CSG Italy SnS'!$D:$D,"*datamatic*")</f>
        <v>4833</v>
      </c>
      <c r="J8" s="284">
        <f>IFERROR(((SUMIFS('Raw CSG Italy SnS'!$G:$G,'Raw CSG Italy SnS'!$B:$B,"FY20-Q2",'Raw CSG Italy SnS'!$C:$C,"ITALY",'Raw CSG Italy SnS'!$D:$D,"*datamatic*")-SUMIFS('Raw CSG Italy SnS'!$G:$G,'Raw CSG Italy SnS'!$B:$B,"FY19-Q2",'Raw CSG Italy SnS'!$C:$C,"ITALY",'Raw CSG Italy SnS'!$D:$D,"*datamatic*")))/(SUMIFS('Raw CSG Italy SnS'!$G:$G,'Raw CSG Italy SnS'!$B:$B,"FY19-Q2",'Raw CSG Italy SnS'!$C:$C,"ITALY",'Raw CSG Italy SnS'!$D:$D,"*datamatic*")),"")</f>
        <v>-2.9712909054406746E-2</v>
      </c>
      <c r="K8" s="290">
        <f t="shared" si="0"/>
        <v>610.05000000000007</v>
      </c>
      <c r="L8" s="287">
        <f>SUMIFS('Raw CSG Italy SnS'!$H:$H,'Raw CSG Italy SnS'!$B:$B,"FY20-Q3",'Raw CSG Italy SnS'!$C:$C,"ITALY",'Raw CSG Italy SnS'!$D:$D,"*datamatic*")</f>
        <v>551</v>
      </c>
      <c r="M8" s="265">
        <f>IFERROR(L8/K8,"")</f>
        <v>0.90320465535611827</v>
      </c>
      <c r="N8" s="304" t="str">
        <f t="shared" si="1"/>
        <v>Target Missed</v>
      </c>
      <c r="O8" s="301">
        <f>IFERROR((L8-K8)/K8,"")</f>
        <v>-9.6795344643881745E-2</v>
      </c>
      <c r="P8" s="255">
        <f>I8*(1.05)</f>
        <v>5074.6500000000005</v>
      </c>
      <c r="Q8" s="269">
        <f>SUMIFS('Raw CSG Italy SnS'!$G:$G,'Raw CSG Italy SnS'!$B:$B,"FY20-Q3",'Raw CSG Italy SnS'!$C:$C,"ITALY",'Raw CSG Italy SnS'!$D:$D,"*datamatic*")</f>
        <v>5200</v>
      </c>
      <c r="R8" s="277">
        <f>IFERROR(Q8/P8,"")</f>
        <v>1.0247012109209501</v>
      </c>
      <c r="S8" s="304" t="str">
        <f t="shared" si="2"/>
        <v>Target Achieved</v>
      </c>
      <c r="T8" s="301">
        <f>IFERROR((Q8-P8)/P8,"")</f>
        <v>2.4701210920950102E-2</v>
      </c>
      <c r="U8" s="175"/>
      <c r="V8" s="199">
        <f>IFERROR(((U8-SUMIFS('Raw CSG Italy SnS'!$H:$H,'Raw CSG Italy SnS'!$B:$B,"FY19-Q4",'Raw CSG Italy SnS'!$C:$C,"ITALY",'Raw CSG Italy SnS'!$D:$D,"*datamatic*")))/(SUMIFS('Raw CSG Italy SnS'!$H:$H,'Raw CSG Italy SnS'!$B:$B,"FY19-Q4",'Raw CSG Italy SnS'!$C:$C,"ITALY",'Raw CSG Italy SnS'!$D:$D,"*datamatic*")),"")</f>
        <v>-1</v>
      </c>
      <c r="W8" s="239"/>
      <c r="X8" s="204">
        <f>IFERROR(((W8-SUMIFS('Raw CSG Italy SnS'!$G:$G,'Raw CSG Italy SnS'!$B:$B,"FY19-Q4",'Raw CSG Italy SnS'!$C:$C,"ITALY",'Raw CSG Italy SnS'!$D:$D,"*datamatic*")))/(SUMIFS('Raw CSG Italy SnS'!$G:$G,'Raw CSG Italy SnS'!$B:$B,"FY19-Q4",'Raw CSG Italy SnS'!$C:$C,"ITALY",'Raw CSG Italy SnS'!$D:$D,"*datamatic*")),"")</f>
        <v>-1</v>
      </c>
    </row>
    <row r="9" spans="1:25" ht="16.350000000000001" customHeight="1" x14ac:dyDescent="0.25">
      <c r="A9" s="272" t="s">
        <v>61</v>
      </c>
      <c r="B9" s="333"/>
      <c r="C9" s="202">
        <f>SUMIFS('Raw CSG Italy SnS'!$H:$H,'Raw CSG Italy SnS'!$B:$B,"FY20-Q1",'Raw CSG Italy SnS'!$C:$C,"ITALY",'Raw CSG Italy SnS'!$D:$D,"*esprinet*")</f>
        <v>1513</v>
      </c>
      <c r="D9" s="204">
        <f>IFERROR(((SUMIFS('Raw CSG Italy SnS'!$H:$H,'Raw CSG Italy SnS'!$B:$B,"FY20-Q1",'Raw CSG Italy SnS'!$C:$C,"ITALY",'Raw CSG Italy SnS'!$D:$D,"*esprinet*")-SUMIFS('Raw CSG Italy SnS'!$H:$H,'Raw CSG Italy SnS'!$B:$B,"FY19-Q1",'Raw CSG Italy SnS'!$C:$C,"ITALY",'Raw CSG Italy SnS'!$D:$D,"*esprinet*")))/(SUMIFS('Raw CSG Italy SnS'!$H:$H,'Raw CSG Italy SnS'!$B:$B,"FY19-Q1",'Raw CSG Italy SnS'!$C:$C,"ITALY",'Raw CSG Italy SnS'!$D:$D,"*esprinet*")),"")</f>
        <v>0.17651632970451012</v>
      </c>
      <c r="E9" s="246">
        <f>SUMIFS('Raw CSG Italy SnS'!$G:$G,'Raw CSG Italy SnS'!$B:$B,"FY20-Q1",'Raw CSG Italy SnS'!$C:$C,"ITALY",'Raw CSG Italy SnS'!$D:$D,"*esprinet*")</f>
        <v>7461</v>
      </c>
      <c r="F9" s="204">
        <f>IFERROR(((SUMIFS('Raw CSG Italy SnS'!$G:$G,'Raw CSG Italy SnS'!$B:$B,"FY20-Q1",'Raw CSG Italy SnS'!$C:$C,"ITALY",'Raw CSG Italy SnS'!$D:$D,"*esprinet*")-SUMIFS('Raw CSG Italy SnS'!$G:$G,'Raw CSG Italy SnS'!$B:$B,"FY19-Q1",'Raw CSG Italy SnS'!$C:$C,"ITALY",'Raw CSG Italy SnS'!$D:$D,"*esprinet*")))/(SUMIFS('Raw CSG Italy SnS'!$G:$G,'Raw CSG Italy SnS'!$B:$B,"FY19-Q1",'Raw CSG Italy SnS'!$C:$C,"ITALY",'Raw CSG Italy SnS'!$D:$D,"*esprinet*")),"")</f>
        <v>8.5394239162059932E-2</v>
      </c>
      <c r="G9" s="202">
        <f>SUMIFS('Raw CSG Italy SnS'!$H:$H,'Raw CSG Italy SnS'!$B:$B,"FY20-Q2",'Raw CSG Italy SnS'!$C:$C,"ITALY",'Raw CSG Italy SnS'!$D:$D,"*esprinet*")</f>
        <v>1421</v>
      </c>
      <c r="H9" s="199">
        <f>IFERROR(((SUMIFS('Raw CSG Italy SnS'!$H:$H,'Raw CSG Italy SnS'!$B:$B,"FY20-Q2",'Raw CSG Italy SnS'!$C:$C,"ITALY",'Raw CSG Italy SnS'!$D:$D,"*esprinet*")-SUMIFS('Raw CSG Italy SnS'!$H:$H,'Raw CSG Italy SnS'!$B:$B,"FY19-Q2",'Raw CSG Italy SnS'!$C:$C,"ITALY",'Raw CSG Italy SnS'!$D:$D,"*esprinet*")))/(SUMIFS('Raw CSG Italy SnS'!$H:$H,'Raw CSG Italy SnS'!$B:$B,"FY19-Q2",'Raw CSG Italy SnS'!$C:$C,"ITALY",'Raw CSG Italy SnS'!$D:$D,"*esprinet*")),"")</f>
        <v>5.661712668082095E-3</v>
      </c>
      <c r="I9" s="246">
        <f>SUMIFS('Raw CSG Italy SnS'!$G:$G,'Raw CSG Italy SnS'!$B:$B,"FY20-Q2",'Raw CSG Italy SnS'!$C:$C,"ITALY",'Raw CSG Italy SnS'!$D:$D,"*esprinet*")</f>
        <v>6415</v>
      </c>
      <c r="J9" s="284">
        <f>IFERROR(((SUMIFS('Raw CSG Italy SnS'!$G:$G,'Raw CSG Italy SnS'!$B:$B,"FY20-Q2",'Raw CSG Italy SnS'!$C:$C,"ITALY",'Raw CSG Italy SnS'!$D:$D,"*esprinet*")-SUMIFS('Raw CSG Italy SnS'!$G:$G,'Raw CSG Italy SnS'!$B:$B,"FY19-Q2",'Raw CSG Italy SnS'!$C:$C,"ITALY",'Raw CSG Italy SnS'!$D:$D,"*esprinet*")))/(SUMIFS('Raw CSG Italy SnS'!$G:$G,'Raw CSG Italy SnS'!$B:$B,"FY19-Q2",'Raw CSG Italy SnS'!$C:$C,"ITALY",'Raw CSG Italy SnS'!$D:$D,"*esprinet*")),"")</f>
        <v>3.4412638823713435E-3</v>
      </c>
      <c r="K9" s="290">
        <f t="shared" si="0"/>
        <v>1588.65</v>
      </c>
      <c r="L9" s="287">
        <f>SUMIFS('Raw CSG Italy SnS'!$H:$H,'Raw CSG Italy SnS'!$B:$B,"FY20-Q3",'Raw CSG Italy SnS'!$C:$C,"ITALY",'Raw CSG Italy SnS'!$D:$D,"*esprinet*")</f>
        <v>1385</v>
      </c>
      <c r="M9" s="265">
        <f>IFERROR(L9/K9,"")</f>
        <v>0.87180939791646994</v>
      </c>
      <c r="N9" s="304" t="str">
        <f t="shared" si="1"/>
        <v>Target Missed</v>
      </c>
      <c r="O9" s="301">
        <f>IFERROR((L9-K9)/K9,"")</f>
        <v>-0.12819060208353009</v>
      </c>
      <c r="P9" s="255">
        <f>I9*(1.05)</f>
        <v>6735.75</v>
      </c>
      <c r="Q9" s="269">
        <f>SUMIFS('Raw CSG Italy SnS'!$G:$G,'Raw CSG Italy SnS'!$B:$B,"FY20-Q3",'Raw CSG Italy SnS'!$C:$C,"ITALY",'Raw CSG Italy SnS'!$D:$D,"*esprinet*")</f>
        <v>6484</v>
      </c>
      <c r="R9" s="277">
        <f>IFERROR(Q9/P9,"")</f>
        <v>0.96262480050476928</v>
      </c>
      <c r="S9" s="304" t="str">
        <f t="shared" si="2"/>
        <v>Target Missed</v>
      </c>
      <c r="T9" s="301">
        <f>IFERROR((Q9-P9)/P9,"")</f>
        <v>-3.7375199495230674E-2</v>
      </c>
      <c r="U9" s="176"/>
      <c r="V9" s="199">
        <f>IFERROR(((U9-SUMIFS('Raw CSG Italy SnS'!$H:$H,'Raw CSG Italy SnS'!$B:$B,"FY19-Q4",'Raw CSG Italy SnS'!$C:$C,"ITALY",'Raw CSG Italy SnS'!$D:$D,"*esprinet*")))/(SUMIFS('Raw CSG Italy SnS'!$H:$H,'Raw CSG Italy SnS'!$B:$B,"FY19-Q4",'Raw CSG Italy SnS'!$C:$C,"ITALY",'Raw CSG Italy SnS'!$D:$D,"*esprinet*")),"")</f>
        <v>-1</v>
      </c>
      <c r="W9" s="240"/>
      <c r="X9" s="204">
        <f>IFERROR(((W9-SUMIFS('Raw CSG Italy SnS'!$G:$G,'Raw CSG Italy SnS'!$B:$B,"FY19-Q4",'Raw CSG Italy SnS'!$C:$C,"ITALY",'Raw CSG Italy SnS'!$D:$D,"*esprinet*")))/(SUMIFS('Raw CSG Italy SnS'!$G:$G,'Raw CSG Italy SnS'!$B:$B,"FY19-Q4",'Raw CSG Italy SnS'!$C:$C,"ITALY",'Raw CSG Italy SnS'!$D:$D,"*esprinet*")),"")</f>
        <v>-1</v>
      </c>
    </row>
    <row r="10" spans="1:25" ht="15.6" customHeight="1" thickBot="1" x14ac:dyDescent="0.3">
      <c r="A10" s="273" t="s">
        <v>40</v>
      </c>
      <c r="B10" s="334"/>
      <c r="C10" s="205">
        <f>SUMIFS('Raw CSG Italy SnS'!$H:$H,'Raw CSG Italy SnS'!$B:$B,"FY20-Q1",'Raw CSG Italy SnS'!$C:$C,"ITALY",'Raw CSG Italy SnS'!$D:$D,"*tech data*")</f>
        <v>727</v>
      </c>
      <c r="D10" s="207">
        <f>IFERROR(((SUMIFS('Raw CSG Italy SnS'!$H:$H,'Raw CSG Italy SnS'!$B:$B,"FY20-Q1",'Raw CSG Italy SnS'!$C:$C,"ITALY",'Raw CSG Italy SnS'!$D:$D,"*tech data*")-SUMIFS('Raw CSG Italy SnS'!$H:$H,'Raw CSG Italy SnS'!$B:$B,"FY19-Q1",'Raw CSG Italy SnS'!$C:$C,"ITALY",'Raw CSG Italy SnS'!$D:$D,"*tech data*")))/(SUMIFS('Raw CSG Italy SnS'!$H:$H,'Raw CSG Italy SnS'!$B:$B,"FY19-Q1",'Raw CSG Italy SnS'!$C:$C,"ITALY",'Raw CSG Italy SnS'!$D:$D,"*tech data*")),"")</f>
        <v>0.14668769716088328</v>
      </c>
      <c r="E10" s="247">
        <f>SUMIFS('Raw CSG Italy SnS'!$G:$G,'Raw CSG Italy SnS'!$B:$B,"FY20-Q1",'Raw CSG Italy SnS'!$C:$C,"ITALY",'Raw CSG Italy SnS'!$D:$D,"*tech data*")</f>
        <v>6801</v>
      </c>
      <c r="F10" s="207">
        <f>IFERROR(((SUMIFS('Raw CSG Italy SnS'!$G:$G,'Raw CSG Italy SnS'!$B:$B,"FY20-Q1",'Raw CSG Italy SnS'!$C:$C,"ITALY",'Raw CSG Italy SnS'!$D:$D,"*tech data*")-SUMIFS('Raw CSG Italy SnS'!$G:$G,'Raw CSG Italy SnS'!$B:$B,"FY19-Q1",'Raw CSG Italy SnS'!$C:$C,"ITALY",'Raw CSG Italy SnS'!$D:$D,"*tech data*")))/(SUMIFS('Raw CSG Italy SnS'!$G:$G,'Raw CSG Italy SnS'!$B:$B,"FY19-Q1",'Raw CSG Italy SnS'!$C:$C,"ITALY",'Raw CSG Italy SnS'!$D:$D,"*tech data*")),"")</f>
        <v>-0.20072864026325068</v>
      </c>
      <c r="G10" s="205">
        <f>SUMIFS('Raw CSG Italy SnS'!$H:$H,'Raw CSG Italy SnS'!$B:$B,"FY20-Q2",'Raw CSG Italy SnS'!$C:$C,"ITALY",'Raw CSG Italy SnS'!$D:$D,"*tech data*")</f>
        <v>684</v>
      </c>
      <c r="H10" s="206">
        <f>IFERROR(((SUMIFS('Raw CSG Italy SnS'!$H:$H,'Raw CSG Italy SnS'!$B:$B,"FY20-Q2",'Raw CSG Italy SnS'!$C:$C,"ITALY",'Raw CSG Italy SnS'!$D:$D,"*tech data*")-SUMIFS('Raw CSG Italy SnS'!$H:$H,'Raw CSG Italy SnS'!$B:$B,"FY19-Q2",'Raw CSG Italy SnS'!$C:$C,"ITALY",'Raw CSG Italy SnS'!$D:$D,"*tech data*")))/(SUMIFS('Raw CSG Italy SnS'!$H:$H,'Raw CSG Italy SnS'!$B:$B,"FY19-Q2",'Raw CSG Italy SnS'!$C:$C,"ITALY",'Raw CSG Italy SnS'!$D:$D,"*tech data*")),"")</f>
        <v>6.8750000000000006E-2</v>
      </c>
      <c r="I10" s="247">
        <f>SUMIFS('Raw CSG Italy SnS'!$G:$G,'Raw CSG Italy SnS'!$B:$B,"FY20-Q2",'Raw CSG Italy SnS'!$C:$C,"ITALY",'Raw CSG Italy SnS'!$D:$D,"*tech data*")</f>
        <v>5684</v>
      </c>
      <c r="J10" s="285">
        <f>IFERROR(((SUMIFS('Raw CSG Italy SnS'!$G:$G,'Raw CSG Italy SnS'!$B:$B,"FY20-Q2",'Raw CSG Italy SnS'!$C:$C,"ITALY",'Raw CSG Italy SnS'!$D:$D,"*tech data*")-SUMIFS('Raw CSG Italy SnS'!$G:$G,'Raw CSG Italy SnS'!$B:$B,"FY19-Q2",'Raw CSG Italy SnS'!$C:$C,"ITALY",'Raw CSG Italy SnS'!$D:$D,"*tech data*")))/(SUMIFS('Raw CSG Italy SnS'!$G:$G,'Raw CSG Italy SnS'!$B:$B,"FY19-Q2",'Raw CSG Italy SnS'!$C:$C,"ITALY",'Raw CSG Italy SnS'!$D:$D,"*tech data*")),"")</f>
        <v>-8.7347463070006418E-2</v>
      </c>
      <c r="K10" s="291">
        <f t="shared" si="0"/>
        <v>763.35</v>
      </c>
      <c r="L10" s="288">
        <f>SUMIFS('Raw CSG Italy SnS'!$H:$H,'Raw CSG Italy SnS'!$B:$B,"FY20-Q3",'Raw CSG Italy SnS'!$C:$C,"ITALY",'Raw CSG Italy SnS'!$D:$D,"*tech data*")</f>
        <v>620</v>
      </c>
      <c r="M10" s="275">
        <f>IFERROR(L10/K10,"")</f>
        <v>0.81220934040741466</v>
      </c>
      <c r="N10" s="305" t="str">
        <f t="shared" si="1"/>
        <v>Target Missed</v>
      </c>
      <c r="O10" s="302">
        <f>IFERROR((L10-K10)/K10,"")</f>
        <v>-0.18779065959258534</v>
      </c>
      <c r="P10" s="256">
        <f>I10*(1.05)</f>
        <v>5968.2</v>
      </c>
      <c r="Q10" s="270">
        <f>SUMIFS('Raw CSG Italy SnS'!$G:$G,'Raw CSG Italy SnS'!$B:$B,"FY20-Q3",'Raw CSG Italy SnS'!$C:$C,"ITALY",'Raw CSG Italy SnS'!$D:$D,"*tech data*")</f>
        <v>5596</v>
      </c>
      <c r="R10" s="278">
        <f>IFERROR(Q10/P10,"")</f>
        <v>0.93763613819912206</v>
      </c>
      <c r="S10" s="305" t="str">
        <f t="shared" si="2"/>
        <v>Target Missed</v>
      </c>
      <c r="T10" s="302">
        <f>IFERROR((Q10-P10)/P10,"")</f>
        <v>-6.2363861800877961E-2</v>
      </c>
      <c r="U10" s="274"/>
      <c r="V10" s="206">
        <f>IFERROR(((U10-SUMIFS('Raw CSG Italy SnS'!$H:$H,'Raw CSG Italy SnS'!$B:$B,"FY19-Q4",'Raw CSG Italy SnS'!$C:$C,"ITALY",'Raw CSG Italy SnS'!$D:$D,"*tech data*")))/(SUMIFS('Raw CSG Italy SnS'!$H:$H,'Raw CSG Italy SnS'!$B:$B,"FY19-Q4",'Raw CSG Italy SnS'!$C:$C,"ITALY",'Raw CSG Italy SnS'!$D:$D,"*tech data*")),"")</f>
        <v>-1</v>
      </c>
      <c r="W10" s="276"/>
      <c r="X10" s="207">
        <f>IFERROR(((W10-SUMIFS('Raw CSG Italy SnS'!$G:$G,'Raw CSG Italy SnS'!$B:$B,"FY19-Q4",'Raw CSG Italy SnS'!$C:$C,"ITALY",'Raw CSG Italy SnS'!$D:$D,"*tech data*")))/(SUMIFS('Raw CSG Italy SnS'!$G:$G,'Raw CSG Italy SnS'!$B:$B,"FY19-Q4",'Raw CSG Italy SnS'!$C:$C,"ITALY",'Raw CSG Italy SnS'!$D:$D,"*tech data*")),"")</f>
        <v>-1</v>
      </c>
    </row>
    <row r="11" spans="1:25" ht="15.75" thickBot="1" x14ac:dyDescent="0.3"/>
    <row r="12" spans="1:25" x14ac:dyDescent="0.25">
      <c r="K12" s="344" t="s">
        <v>216</v>
      </c>
      <c r="L12" s="345"/>
      <c r="M12" s="345"/>
      <c r="N12" s="345"/>
      <c r="O12" s="345"/>
      <c r="P12" s="345"/>
      <c r="Q12" s="345"/>
      <c r="R12" s="345"/>
      <c r="S12" s="345"/>
      <c r="T12" s="345"/>
      <c r="U12" s="346"/>
    </row>
    <row r="13" spans="1:25" ht="15.75" thickBot="1" x14ac:dyDescent="0.3">
      <c r="A13" s="361">
        <v>0.8</v>
      </c>
      <c r="B13" s="362" t="e">
        <f>IF($M$6&lt;=$A13,$M$6,NA())</f>
        <v>#N/A</v>
      </c>
      <c r="K13" s="347"/>
      <c r="L13" s="348"/>
      <c r="M13" s="348"/>
      <c r="N13" s="348"/>
      <c r="O13" s="348"/>
      <c r="P13" s="348"/>
      <c r="Q13" s="348"/>
      <c r="R13" s="348"/>
      <c r="S13" s="348"/>
      <c r="T13" s="348"/>
      <c r="U13" s="349"/>
    </row>
    <row r="14" spans="1:25" ht="15" customHeight="1" x14ac:dyDescent="0.25">
      <c r="A14" s="362">
        <v>0.999</v>
      </c>
      <c r="B14" s="362">
        <f>IF(SUMPRODUCT((M6&lt;=A14)*(M6&gt;=A13)),$M$6,NA())</f>
        <v>0.89880739110405894</v>
      </c>
    </row>
    <row r="15" spans="1:25" ht="15.75" customHeight="1" x14ac:dyDescent="0.25">
      <c r="A15" s="361">
        <v>1</v>
      </c>
      <c r="B15" s="362" t="e">
        <f>IF($M$6&gt;=$A15,$M$6,NA())</f>
        <v>#N/A</v>
      </c>
    </row>
    <row r="37" spans="3:12" x14ac:dyDescent="0.25">
      <c r="L37" s="359" t="s">
        <v>221</v>
      </c>
    </row>
    <row r="39" spans="3:12" x14ac:dyDescent="0.25">
      <c r="C39" s="350"/>
      <c r="D39" s="350"/>
    </row>
  </sheetData>
  <mergeCells count="8">
    <mergeCell ref="K4:T4"/>
    <mergeCell ref="K12:U13"/>
    <mergeCell ref="C39:D39"/>
    <mergeCell ref="B6:B10"/>
    <mergeCell ref="A1:W1"/>
    <mergeCell ref="C4:F4"/>
    <mergeCell ref="G4:J4"/>
    <mergeCell ref="U4:X4"/>
  </mergeCells>
  <conditionalFormatting sqref="V6:V10">
    <cfRule type="cellIs" dxfId="23" priority="23" stopIfTrue="1" operator="greaterThan">
      <formula>0</formula>
    </cfRule>
    <cfRule type="cellIs" dxfId="22" priority="24" stopIfTrue="1" operator="lessThan">
      <formula>0</formula>
    </cfRule>
  </conditionalFormatting>
  <conditionalFormatting sqref="V6:V10">
    <cfRule type="cellIs" dxfId="21" priority="22" operator="lessThanOrEqual">
      <formula>-0.1</formula>
    </cfRule>
  </conditionalFormatting>
  <conditionalFormatting sqref="X6:X10">
    <cfRule type="cellIs" dxfId="20" priority="20" stopIfTrue="1" operator="greaterThan">
      <formula>0</formula>
    </cfRule>
    <cfRule type="cellIs" dxfId="19" priority="21" stopIfTrue="1" operator="lessThan">
      <formula>0</formula>
    </cfRule>
  </conditionalFormatting>
  <conditionalFormatting sqref="X6:X10">
    <cfRule type="cellIs" dxfId="18" priority="19" operator="lessThanOrEqual">
      <formula>-0.1</formula>
    </cfRule>
  </conditionalFormatting>
  <conditionalFormatting sqref="F6:F10">
    <cfRule type="cellIs" dxfId="17" priority="17" stopIfTrue="1" operator="greaterThan">
      <formula>0</formula>
    </cfRule>
    <cfRule type="cellIs" dxfId="16" priority="18" stopIfTrue="1" operator="lessThan">
      <formula>0</formula>
    </cfRule>
  </conditionalFormatting>
  <conditionalFormatting sqref="F6:F10">
    <cfRule type="cellIs" dxfId="15" priority="16" operator="lessThanOrEqual">
      <formula>-0.1</formula>
    </cfRule>
  </conditionalFormatting>
  <conditionalFormatting sqref="J6:J10">
    <cfRule type="cellIs" dxfId="14" priority="14" stopIfTrue="1" operator="greaterThan">
      <formula>0</formula>
    </cfRule>
    <cfRule type="cellIs" dxfId="13" priority="15" stopIfTrue="1" operator="lessThan">
      <formula>0</formula>
    </cfRule>
  </conditionalFormatting>
  <conditionalFormatting sqref="J6:J10">
    <cfRule type="cellIs" dxfId="12" priority="13" operator="lessThanOrEqual">
      <formula>-0.1</formula>
    </cfRule>
  </conditionalFormatting>
  <conditionalFormatting sqref="H6:H10">
    <cfRule type="cellIs" dxfId="11" priority="11" stopIfTrue="1" operator="greaterThan">
      <formula>0</formula>
    </cfRule>
    <cfRule type="cellIs" dxfId="10" priority="12" stopIfTrue="1" operator="lessThan">
      <formula>0</formula>
    </cfRule>
  </conditionalFormatting>
  <conditionalFormatting sqref="H6:H10">
    <cfRule type="cellIs" dxfId="9" priority="10" operator="lessThanOrEqual">
      <formula>-0.1</formula>
    </cfRule>
  </conditionalFormatting>
  <conditionalFormatting sqref="T6:T10">
    <cfRule type="cellIs" dxfId="8" priority="8" stopIfTrue="1" operator="greaterThan">
      <formula>0</formula>
    </cfRule>
    <cfRule type="cellIs" dxfId="7" priority="9" stopIfTrue="1" operator="lessThan">
      <formula>0</formula>
    </cfRule>
  </conditionalFormatting>
  <conditionalFormatting sqref="T6:T10">
    <cfRule type="cellIs" dxfId="6" priority="7" operator="lessThanOrEqual">
      <formula>-0.1</formula>
    </cfRule>
  </conditionalFormatting>
  <conditionalFormatting sqref="D6:D10">
    <cfRule type="cellIs" dxfId="5" priority="5" stopIfTrue="1" operator="greaterThan">
      <formula>0</formula>
    </cfRule>
    <cfRule type="cellIs" dxfId="4" priority="6" stopIfTrue="1" operator="lessThan">
      <formula>0</formula>
    </cfRule>
  </conditionalFormatting>
  <conditionalFormatting sqref="D6:D10">
    <cfRule type="cellIs" dxfId="3" priority="4" operator="lessThanOrEqual">
      <formula>-0.1</formula>
    </cfRule>
  </conditionalFormatting>
  <conditionalFormatting sqref="O6:O10">
    <cfRule type="cellIs" dxfId="2" priority="2" stopIfTrue="1" operator="greaterThan">
      <formula>0</formula>
    </cfRule>
    <cfRule type="cellIs" dxfId="1" priority="3" stopIfTrue="1" operator="lessThan">
      <formula>0</formula>
    </cfRule>
  </conditionalFormatting>
  <conditionalFormatting sqref="O6:O10">
    <cfRule type="cellIs" dxfId="0" priority="1" operator="lessThanOrEqual">
      <formula>-0.1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workbookViewId="0">
      <selection activeCell="O85" sqref="O85"/>
    </sheetView>
  </sheetViews>
  <sheetFormatPr baseColWidth="10" defaultRowHeight="15" x14ac:dyDescent="0.25"/>
  <sheetData>
    <row r="1" spans="1:8" x14ac:dyDescent="0.25">
      <c r="A1" t="s">
        <v>62</v>
      </c>
      <c r="B1" t="s">
        <v>63</v>
      </c>
      <c r="C1" t="s">
        <v>64</v>
      </c>
      <c r="D1" t="s">
        <v>193</v>
      </c>
      <c r="E1" t="s">
        <v>67</v>
      </c>
      <c r="F1" t="s">
        <v>68</v>
      </c>
      <c r="G1" t="s">
        <v>69</v>
      </c>
      <c r="H1" t="s">
        <v>70</v>
      </c>
    </row>
    <row r="2" spans="1:8" x14ac:dyDescent="0.25">
      <c r="A2" t="s">
        <v>186</v>
      </c>
      <c r="B2" t="s">
        <v>189</v>
      </c>
      <c r="C2" t="s">
        <v>55</v>
      </c>
      <c r="D2" t="s">
        <v>204</v>
      </c>
      <c r="E2" t="s">
        <v>75</v>
      </c>
      <c r="F2">
        <v>1507</v>
      </c>
      <c r="G2">
        <v>1507</v>
      </c>
      <c r="H2">
        <v>1</v>
      </c>
    </row>
    <row r="3" spans="1:8" x14ac:dyDescent="0.25">
      <c r="A3" t="s">
        <v>71</v>
      </c>
      <c r="B3" t="s">
        <v>76</v>
      </c>
      <c r="C3" t="s">
        <v>55</v>
      </c>
      <c r="D3" t="s">
        <v>204</v>
      </c>
      <c r="E3" t="s">
        <v>75</v>
      </c>
      <c r="F3">
        <v>2325</v>
      </c>
      <c r="G3">
        <v>2325</v>
      </c>
      <c r="H3">
        <v>1</v>
      </c>
    </row>
    <row r="4" spans="1:8" x14ac:dyDescent="0.25">
      <c r="A4" t="s">
        <v>71</v>
      </c>
      <c r="B4" t="s">
        <v>72</v>
      </c>
      <c r="C4" t="s">
        <v>55</v>
      </c>
      <c r="D4" t="s">
        <v>204</v>
      </c>
      <c r="E4" t="s">
        <v>75</v>
      </c>
      <c r="F4">
        <v>2282</v>
      </c>
      <c r="G4">
        <v>2282</v>
      </c>
      <c r="H4">
        <v>1</v>
      </c>
    </row>
    <row r="5" spans="1:8" x14ac:dyDescent="0.25">
      <c r="A5" t="s">
        <v>71</v>
      </c>
      <c r="B5" t="s">
        <v>77</v>
      </c>
      <c r="C5" t="s">
        <v>55</v>
      </c>
      <c r="D5" t="s">
        <v>204</v>
      </c>
      <c r="E5" t="s">
        <v>75</v>
      </c>
      <c r="F5">
        <v>3089</v>
      </c>
      <c r="G5">
        <v>3089</v>
      </c>
      <c r="H5">
        <v>1</v>
      </c>
    </row>
    <row r="6" spans="1:8" x14ac:dyDescent="0.25">
      <c r="A6" t="s">
        <v>186</v>
      </c>
      <c r="B6" t="s">
        <v>189</v>
      </c>
      <c r="C6" t="s">
        <v>55</v>
      </c>
      <c r="D6" t="s">
        <v>206</v>
      </c>
      <c r="E6" t="s">
        <v>75</v>
      </c>
      <c r="F6">
        <v>237</v>
      </c>
      <c r="G6">
        <v>237</v>
      </c>
      <c r="H6">
        <v>1</v>
      </c>
    </row>
    <row r="7" spans="1:8" x14ac:dyDescent="0.25">
      <c r="A7" t="s">
        <v>71</v>
      </c>
      <c r="B7" t="s">
        <v>76</v>
      </c>
      <c r="C7" t="s">
        <v>55</v>
      </c>
      <c r="D7" t="s">
        <v>206</v>
      </c>
      <c r="E7" t="s">
        <v>75</v>
      </c>
      <c r="F7">
        <v>428</v>
      </c>
      <c r="G7">
        <v>428</v>
      </c>
      <c r="H7">
        <v>1</v>
      </c>
    </row>
    <row r="8" spans="1:8" x14ac:dyDescent="0.25">
      <c r="A8" t="s">
        <v>71</v>
      </c>
      <c r="B8" t="s">
        <v>72</v>
      </c>
      <c r="C8" t="s">
        <v>55</v>
      </c>
      <c r="D8" t="s">
        <v>206</v>
      </c>
      <c r="E8" t="s">
        <v>75</v>
      </c>
      <c r="F8">
        <v>313</v>
      </c>
      <c r="G8">
        <v>313</v>
      </c>
      <c r="H8">
        <v>1</v>
      </c>
    </row>
    <row r="9" spans="1:8" x14ac:dyDescent="0.25">
      <c r="A9" t="s">
        <v>71</v>
      </c>
      <c r="B9" t="s">
        <v>77</v>
      </c>
      <c r="C9" t="s">
        <v>55</v>
      </c>
      <c r="D9" t="s">
        <v>206</v>
      </c>
      <c r="E9" t="s">
        <v>75</v>
      </c>
      <c r="F9">
        <v>4325</v>
      </c>
      <c r="G9">
        <v>4325</v>
      </c>
      <c r="H9">
        <v>1</v>
      </c>
    </row>
    <row r="10" spans="1:8" x14ac:dyDescent="0.25">
      <c r="A10" t="s">
        <v>186</v>
      </c>
      <c r="B10" t="s">
        <v>187</v>
      </c>
      <c r="C10" t="s">
        <v>55</v>
      </c>
      <c r="D10" t="s">
        <v>201</v>
      </c>
      <c r="E10" t="s">
        <v>75</v>
      </c>
      <c r="F10">
        <v>635</v>
      </c>
      <c r="G10">
        <v>635</v>
      </c>
      <c r="H10">
        <v>1</v>
      </c>
    </row>
    <row r="11" spans="1:8" x14ac:dyDescent="0.25">
      <c r="A11" t="s">
        <v>186</v>
      </c>
      <c r="B11" t="s">
        <v>188</v>
      </c>
      <c r="C11" t="s">
        <v>55</v>
      </c>
      <c r="D11" t="s">
        <v>201</v>
      </c>
      <c r="E11" t="s">
        <v>75</v>
      </c>
      <c r="F11">
        <v>1993</v>
      </c>
      <c r="G11">
        <v>1993</v>
      </c>
      <c r="H11">
        <v>1</v>
      </c>
    </row>
    <row r="12" spans="1:8" x14ac:dyDescent="0.25">
      <c r="A12" t="s">
        <v>186</v>
      </c>
      <c r="B12" t="s">
        <v>189</v>
      </c>
      <c r="C12" t="s">
        <v>55</v>
      </c>
      <c r="D12" t="s">
        <v>201</v>
      </c>
      <c r="E12" t="s">
        <v>75</v>
      </c>
      <c r="F12">
        <v>2089</v>
      </c>
      <c r="G12">
        <v>1045</v>
      </c>
      <c r="H12">
        <v>2</v>
      </c>
    </row>
    <row r="13" spans="1:8" x14ac:dyDescent="0.25">
      <c r="A13" t="s">
        <v>186</v>
      </c>
      <c r="B13" t="s">
        <v>190</v>
      </c>
      <c r="C13" t="s">
        <v>55</v>
      </c>
      <c r="D13" t="s">
        <v>207</v>
      </c>
      <c r="E13" t="s">
        <v>75</v>
      </c>
      <c r="F13">
        <v>479</v>
      </c>
      <c r="G13">
        <v>240</v>
      </c>
      <c r="H13">
        <v>2</v>
      </c>
    </row>
    <row r="14" spans="1:8" x14ac:dyDescent="0.25">
      <c r="A14" t="s">
        <v>71</v>
      </c>
      <c r="B14" t="s">
        <v>76</v>
      </c>
      <c r="C14" t="s">
        <v>55</v>
      </c>
      <c r="D14" t="s">
        <v>208</v>
      </c>
      <c r="E14" t="s">
        <v>75</v>
      </c>
      <c r="F14">
        <v>111</v>
      </c>
    </row>
    <row r="15" spans="1:8" x14ac:dyDescent="0.25">
      <c r="A15" t="s">
        <v>71</v>
      </c>
      <c r="B15" t="s">
        <v>76</v>
      </c>
      <c r="C15" t="s">
        <v>55</v>
      </c>
      <c r="D15" t="s">
        <v>209</v>
      </c>
      <c r="E15" t="s">
        <v>75</v>
      </c>
      <c r="F15">
        <v>10</v>
      </c>
      <c r="G15">
        <v>10</v>
      </c>
      <c r="H15">
        <v>1</v>
      </c>
    </row>
    <row r="16" spans="1:8" x14ac:dyDescent="0.25">
      <c r="A16" t="s">
        <v>71</v>
      </c>
      <c r="B16" t="s">
        <v>76</v>
      </c>
      <c r="C16" t="s">
        <v>55</v>
      </c>
      <c r="D16" t="s">
        <v>210</v>
      </c>
      <c r="E16" t="s">
        <v>75</v>
      </c>
      <c r="F16">
        <v>25</v>
      </c>
      <c r="G16">
        <v>25</v>
      </c>
      <c r="H16">
        <v>1</v>
      </c>
    </row>
    <row r="17" spans="1:8" x14ac:dyDescent="0.25">
      <c r="A17" t="s">
        <v>71</v>
      </c>
      <c r="B17" t="s">
        <v>76</v>
      </c>
      <c r="C17" t="s">
        <v>55</v>
      </c>
      <c r="D17" t="s">
        <v>211</v>
      </c>
      <c r="E17" t="s">
        <v>75</v>
      </c>
      <c r="F17">
        <v>1042</v>
      </c>
      <c r="G17">
        <v>1042</v>
      </c>
      <c r="H17">
        <v>1</v>
      </c>
    </row>
    <row r="18" spans="1:8" x14ac:dyDescent="0.25">
      <c r="A18" t="s">
        <v>186</v>
      </c>
      <c r="B18" t="s">
        <v>190</v>
      </c>
      <c r="C18" t="s">
        <v>55</v>
      </c>
      <c r="D18" t="s">
        <v>194</v>
      </c>
      <c r="E18" t="s">
        <v>75</v>
      </c>
      <c r="F18">
        <v>7538213</v>
      </c>
      <c r="G18">
        <v>6378</v>
      </c>
      <c r="H18">
        <v>1182</v>
      </c>
    </row>
    <row r="19" spans="1:8" x14ac:dyDescent="0.25">
      <c r="A19" t="s">
        <v>186</v>
      </c>
      <c r="B19" t="s">
        <v>187</v>
      </c>
      <c r="C19" t="s">
        <v>55</v>
      </c>
      <c r="D19" t="s">
        <v>194</v>
      </c>
      <c r="E19" t="s">
        <v>75</v>
      </c>
      <c r="F19">
        <v>7475953</v>
      </c>
      <c r="G19">
        <v>6406</v>
      </c>
      <c r="H19">
        <v>1167</v>
      </c>
    </row>
    <row r="20" spans="1:8" x14ac:dyDescent="0.25">
      <c r="A20" t="s">
        <v>186</v>
      </c>
      <c r="B20" t="s">
        <v>188</v>
      </c>
      <c r="C20" t="s">
        <v>55</v>
      </c>
      <c r="D20" t="s">
        <v>194</v>
      </c>
      <c r="E20" t="s">
        <v>75</v>
      </c>
      <c r="F20">
        <v>7837930</v>
      </c>
      <c r="G20">
        <v>6716</v>
      </c>
      <c r="H20">
        <v>1167</v>
      </c>
    </row>
    <row r="21" spans="1:8" x14ac:dyDescent="0.25">
      <c r="A21" t="s">
        <v>186</v>
      </c>
      <c r="B21" t="s">
        <v>189</v>
      </c>
      <c r="C21" t="s">
        <v>55</v>
      </c>
      <c r="D21" t="s">
        <v>194</v>
      </c>
      <c r="E21" t="s">
        <v>75</v>
      </c>
      <c r="F21">
        <v>9449408</v>
      </c>
      <c r="G21">
        <v>6852</v>
      </c>
      <c r="H21">
        <v>1379</v>
      </c>
    </row>
    <row r="22" spans="1:8" x14ac:dyDescent="0.25">
      <c r="A22" t="s">
        <v>71</v>
      </c>
      <c r="B22" t="s">
        <v>76</v>
      </c>
      <c r="C22" t="s">
        <v>55</v>
      </c>
      <c r="D22" t="s">
        <v>194</v>
      </c>
      <c r="E22" t="s">
        <v>75</v>
      </c>
      <c r="F22">
        <v>7943482</v>
      </c>
      <c r="G22">
        <v>6801</v>
      </c>
      <c r="H22">
        <v>1168</v>
      </c>
    </row>
    <row r="23" spans="1:8" x14ac:dyDescent="0.25">
      <c r="A23" t="s">
        <v>71</v>
      </c>
      <c r="B23" t="s">
        <v>72</v>
      </c>
      <c r="C23" t="s">
        <v>55</v>
      </c>
      <c r="D23" t="s">
        <v>194</v>
      </c>
      <c r="E23" t="s">
        <v>75</v>
      </c>
      <c r="F23">
        <v>7240674</v>
      </c>
      <c r="G23">
        <v>6121</v>
      </c>
      <c r="H23">
        <v>1183</v>
      </c>
    </row>
    <row r="24" spans="1:8" x14ac:dyDescent="0.25">
      <c r="A24" t="s">
        <v>71</v>
      </c>
      <c r="B24" t="s">
        <v>77</v>
      </c>
      <c r="C24" t="s">
        <v>55</v>
      </c>
      <c r="D24" t="s">
        <v>194</v>
      </c>
      <c r="E24" t="s">
        <v>75</v>
      </c>
      <c r="F24">
        <v>7858215</v>
      </c>
      <c r="G24">
        <v>6554</v>
      </c>
      <c r="H24">
        <v>1199</v>
      </c>
    </row>
    <row r="25" spans="1:8" x14ac:dyDescent="0.25">
      <c r="A25" t="s">
        <v>71</v>
      </c>
      <c r="B25" t="s">
        <v>76</v>
      </c>
      <c r="C25" t="s">
        <v>55</v>
      </c>
      <c r="D25" t="s">
        <v>205</v>
      </c>
      <c r="E25" t="s">
        <v>75</v>
      </c>
      <c r="F25">
        <v>1836</v>
      </c>
      <c r="G25">
        <v>1836</v>
      </c>
      <c r="H25">
        <v>1</v>
      </c>
    </row>
    <row r="26" spans="1:8" x14ac:dyDescent="0.25">
      <c r="A26" t="s">
        <v>71</v>
      </c>
      <c r="B26" t="s">
        <v>72</v>
      </c>
      <c r="C26" t="s">
        <v>55</v>
      </c>
      <c r="D26" t="s">
        <v>205</v>
      </c>
      <c r="E26" t="s">
        <v>75</v>
      </c>
      <c r="F26">
        <v>1586</v>
      </c>
      <c r="G26">
        <v>1586</v>
      </c>
      <c r="H26">
        <v>1</v>
      </c>
    </row>
    <row r="27" spans="1:8" x14ac:dyDescent="0.25">
      <c r="A27" t="s">
        <v>186</v>
      </c>
      <c r="B27" t="s">
        <v>190</v>
      </c>
      <c r="C27" t="s">
        <v>55</v>
      </c>
      <c r="D27" t="s">
        <v>195</v>
      </c>
      <c r="E27" t="s">
        <v>75</v>
      </c>
      <c r="F27">
        <v>2892952</v>
      </c>
      <c r="G27">
        <v>5203</v>
      </c>
      <c r="H27">
        <v>556</v>
      </c>
    </row>
    <row r="28" spans="1:8" x14ac:dyDescent="0.25">
      <c r="A28" t="s">
        <v>186</v>
      </c>
      <c r="B28" t="s">
        <v>187</v>
      </c>
      <c r="C28" t="s">
        <v>55</v>
      </c>
      <c r="D28" t="s">
        <v>195</v>
      </c>
      <c r="E28" t="s">
        <v>75</v>
      </c>
      <c r="F28">
        <v>2998408</v>
      </c>
      <c r="G28">
        <v>4981</v>
      </c>
      <c r="H28">
        <v>602</v>
      </c>
    </row>
    <row r="29" spans="1:8" x14ac:dyDescent="0.25">
      <c r="A29" t="s">
        <v>186</v>
      </c>
      <c r="B29" t="s">
        <v>188</v>
      </c>
      <c r="C29" t="s">
        <v>55</v>
      </c>
      <c r="D29" t="s">
        <v>195</v>
      </c>
      <c r="E29" t="s">
        <v>75</v>
      </c>
      <c r="F29">
        <v>2831023</v>
      </c>
      <c r="G29">
        <v>4924</v>
      </c>
      <c r="H29">
        <v>575</v>
      </c>
    </row>
    <row r="30" spans="1:8" x14ac:dyDescent="0.25">
      <c r="A30" t="s">
        <v>186</v>
      </c>
      <c r="B30" t="s">
        <v>189</v>
      </c>
      <c r="C30" t="s">
        <v>55</v>
      </c>
      <c r="D30" t="s">
        <v>195</v>
      </c>
      <c r="E30" t="s">
        <v>75</v>
      </c>
      <c r="F30">
        <v>3658727</v>
      </c>
      <c r="G30">
        <v>5930</v>
      </c>
      <c r="H30">
        <v>617</v>
      </c>
    </row>
    <row r="31" spans="1:8" x14ac:dyDescent="0.25">
      <c r="A31" t="s">
        <v>71</v>
      </c>
      <c r="B31" t="s">
        <v>76</v>
      </c>
      <c r="C31" t="s">
        <v>55</v>
      </c>
      <c r="D31" t="s">
        <v>195</v>
      </c>
      <c r="E31" t="s">
        <v>75</v>
      </c>
      <c r="F31">
        <v>3271053</v>
      </c>
      <c r="G31">
        <v>5630</v>
      </c>
      <c r="H31">
        <v>581</v>
      </c>
    </row>
    <row r="32" spans="1:8" x14ac:dyDescent="0.25">
      <c r="A32" t="s">
        <v>71</v>
      </c>
      <c r="B32" t="s">
        <v>72</v>
      </c>
      <c r="C32" t="s">
        <v>55</v>
      </c>
      <c r="D32" t="s">
        <v>195</v>
      </c>
      <c r="E32" t="s">
        <v>75</v>
      </c>
      <c r="F32">
        <v>2614685</v>
      </c>
      <c r="G32">
        <v>4833</v>
      </c>
      <c r="H32">
        <v>541</v>
      </c>
    </row>
    <row r="33" spans="1:8" x14ac:dyDescent="0.25">
      <c r="A33" t="s">
        <v>71</v>
      </c>
      <c r="B33" t="s">
        <v>77</v>
      </c>
      <c r="C33" t="s">
        <v>55</v>
      </c>
      <c r="D33" t="s">
        <v>195</v>
      </c>
      <c r="E33" t="s">
        <v>75</v>
      </c>
      <c r="F33">
        <v>2865030</v>
      </c>
      <c r="G33">
        <v>5200</v>
      </c>
      <c r="H33">
        <v>551</v>
      </c>
    </row>
    <row r="34" spans="1:8" x14ac:dyDescent="0.25">
      <c r="A34" t="s">
        <v>186</v>
      </c>
      <c r="B34" t="s">
        <v>187</v>
      </c>
      <c r="C34" t="s">
        <v>55</v>
      </c>
      <c r="D34" t="s">
        <v>212</v>
      </c>
      <c r="E34" t="s">
        <v>75</v>
      </c>
      <c r="F34">
        <v>4758</v>
      </c>
    </row>
    <row r="35" spans="1:8" x14ac:dyDescent="0.25">
      <c r="A35" t="s">
        <v>71</v>
      </c>
      <c r="B35" t="s">
        <v>76</v>
      </c>
      <c r="C35" t="s">
        <v>55</v>
      </c>
      <c r="D35" t="s">
        <v>212</v>
      </c>
      <c r="E35" t="s">
        <v>75</v>
      </c>
      <c r="F35">
        <v>847</v>
      </c>
      <c r="G35">
        <v>847</v>
      </c>
      <c r="H35">
        <v>1</v>
      </c>
    </row>
    <row r="36" spans="1:8" x14ac:dyDescent="0.25">
      <c r="A36" t="s">
        <v>186</v>
      </c>
      <c r="B36" t="s">
        <v>190</v>
      </c>
      <c r="C36" t="s">
        <v>55</v>
      </c>
      <c r="D36" t="s">
        <v>196</v>
      </c>
      <c r="E36" t="s">
        <v>75</v>
      </c>
      <c r="F36">
        <v>8839662</v>
      </c>
      <c r="G36">
        <v>6874</v>
      </c>
      <c r="H36">
        <v>1286</v>
      </c>
    </row>
    <row r="37" spans="1:8" x14ac:dyDescent="0.25">
      <c r="A37" t="s">
        <v>186</v>
      </c>
      <c r="B37" t="s">
        <v>187</v>
      </c>
      <c r="C37" t="s">
        <v>55</v>
      </c>
      <c r="D37" t="s">
        <v>196</v>
      </c>
      <c r="E37" t="s">
        <v>75</v>
      </c>
      <c r="F37">
        <v>9032815</v>
      </c>
      <c r="G37">
        <v>6393</v>
      </c>
      <c r="H37">
        <v>1413</v>
      </c>
    </row>
    <row r="38" spans="1:8" x14ac:dyDescent="0.25">
      <c r="A38" t="s">
        <v>186</v>
      </c>
      <c r="B38" t="s">
        <v>188</v>
      </c>
      <c r="C38" t="s">
        <v>55</v>
      </c>
      <c r="D38" t="s">
        <v>196</v>
      </c>
      <c r="E38" t="s">
        <v>75</v>
      </c>
      <c r="F38">
        <v>8225144</v>
      </c>
      <c r="G38">
        <v>5825</v>
      </c>
      <c r="H38">
        <v>1412</v>
      </c>
    </row>
    <row r="39" spans="1:8" x14ac:dyDescent="0.25">
      <c r="A39" t="s">
        <v>186</v>
      </c>
      <c r="B39" t="s">
        <v>189</v>
      </c>
      <c r="C39" t="s">
        <v>55</v>
      </c>
      <c r="D39" t="s">
        <v>196</v>
      </c>
      <c r="E39" t="s">
        <v>75</v>
      </c>
      <c r="F39">
        <v>11579348</v>
      </c>
      <c r="G39">
        <v>7255</v>
      </c>
      <c r="H39">
        <v>1596</v>
      </c>
    </row>
    <row r="40" spans="1:8" x14ac:dyDescent="0.25">
      <c r="A40" t="s">
        <v>71</v>
      </c>
      <c r="B40" t="s">
        <v>76</v>
      </c>
      <c r="C40" t="s">
        <v>55</v>
      </c>
      <c r="D40" t="s">
        <v>196</v>
      </c>
      <c r="E40" t="s">
        <v>75</v>
      </c>
      <c r="F40">
        <v>10000621</v>
      </c>
      <c r="G40">
        <v>6614</v>
      </c>
      <c r="H40">
        <v>1512</v>
      </c>
    </row>
    <row r="41" spans="1:8" x14ac:dyDescent="0.25">
      <c r="A41" t="s">
        <v>71</v>
      </c>
      <c r="B41" t="s">
        <v>72</v>
      </c>
      <c r="C41" t="s">
        <v>55</v>
      </c>
      <c r="D41" t="s">
        <v>196</v>
      </c>
      <c r="E41" t="s">
        <v>75</v>
      </c>
      <c r="F41">
        <v>9116235</v>
      </c>
      <c r="G41">
        <v>6415</v>
      </c>
      <c r="H41">
        <v>1421</v>
      </c>
    </row>
    <row r="42" spans="1:8" x14ac:dyDescent="0.25">
      <c r="A42" t="s">
        <v>71</v>
      </c>
      <c r="B42" t="s">
        <v>77</v>
      </c>
      <c r="C42" t="s">
        <v>55</v>
      </c>
      <c r="D42" t="s">
        <v>196</v>
      </c>
      <c r="E42" t="s">
        <v>75</v>
      </c>
      <c r="F42">
        <v>8980893</v>
      </c>
      <c r="G42">
        <v>6484</v>
      </c>
      <c r="H42">
        <v>1385</v>
      </c>
    </row>
    <row r="43" spans="1:8" x14ac:dyDescent="0.25">
      <c r="A43" t="s">
        <v>186</v>
      </c>
      <c r="B43" t="s">
        <v>187</v>
      </c>
      <c r="C43" t="s">
        <v>55</v>
      </c>
      <c r="D43" t="s">
        <v>202</v>
      </c>
      <c r="E43" t="s">
        <v>75</v>
      </c>
      <c r="F43">
        <v>0</v>
      </c>
    </row>
    <row r="44" spans="1:8" x14ac:dyDescent="0.25">
      <c r="A44" t="s">
        <v>186</v>
      </c>
      <c r="B44" t="s">
        <v>190</v>
      </c>
      <c r="C44" t="s">
        <v>55</v>
      </c>
      <c r="D44" t="s">
        <v>213</v>
      </c>
      <c r="E44" t="s">
        <v>75</v>
      </c>
      <c r="F44">
        <v>13992</v>
      </c>
      <c r="G44">
        <v>13992</v>
      </c>
      <c r="H44">
        <v>1</v>
      </c>
    </row>
    <row r="45" spans="1:8" x14ac:dyDescent="0.25">
      <c r="A45" t="s">
        <v>186</v>
      </c>
      <c r="B45" t="s">
        <v>187</v>
      </c>
      <c r="C45" t="s">
        <v>55</v>
      </c>
      <c r="D45" t="s">
        <v>213</v>
      </c>
      <c r="E45" t="s">
        <v>75</v>
      </c>
      <c r="F45">
        <v>5670</v>
      </c>
      <c r="G45">
        <v>5670</v>
      </c>
      <c r="H45">
        <v>1</v>
      </c>
    </row>
    <row r="46" spans="1:8" x14ac:dyDescent="0.25">
      <c r="A46" t="s">
        <v>186</v>
      </c>
      <c r="B46" t="s">
        <v>188</v>
      </c>
      <c r="C46" t="s">
        <v>55</v>
      </c>
      <c r="D46" t="s">
        <v>213</v>
      </c>
      <c r="E46" t="s">
        <v>75</v>
      </c>
      <c r="F46">
        <v>10862</v>
      </c>
      <c r="G46">
        <v>10862</v>
      </c>
      <c r="H46">
        <v>1</v>
      </c>
    </row>
    <row r="47" spans="1:8" x14ac:dyDescent="0.25">
      <c r="A47" t="s">
        <v>186</v>
      </c>
      <c r="B47" t="s">
        <v>189</v>
      </c>
      <c r="C47" t="s">
        <v>55</v>
      </c>
      <c r="D47" t="s">
        <v>213</v>
      </c>
      <c r="E47" t="s">
        <v>75</v>
      </c>
      <c r="F47">
        <v>5608</v>
      </c>
      <c r="G47">
        <v>5608</v>
      </c>
      <c r="H47">
        <v>1</v>
      </c>
    </row>
    <row r="48" spans="1:8" x14ac:dyDescent="0.25">
      <c r="A48" t="s">
        <v>71</v>
      </c>
      <c r="B48" t="s">
        <v>76</v>
      </c>
      <c r="C48" t="s">
        <v>55</v>
      </c>
      <c r="D48" t="s">
        <v>213</v>
      </c>
      <c r="E48" t="s">
        <v>75</v>
      </c>
      <c r="F48">
        <v>9952</v>
      </c>
      <c r="G48">
        <v>9952</v>
      </c>
      <c r="H48">
        <v>1</v>
      </c>
    </row>
    <row r="49" spans="1:8" x14ac:dyDescent="0.25">
      <c r="A49" t="s">
        <v>71</v>
      </c>
      <c r="B49" t="s">
        <v>72</v>
      </c>
      <c r="C49" t="s">
        <v>55</v>
      </c>
      <c r="D49" t="s">
        <v>213</v>
      </c>
      <c r="E49" t="s">
        <v>75</v>
      </c>
      <c r="F49">
        <v>14353</v>
      </c>
      <c r="G49">
        <v>7176</v>
      </c>
      <c r="H49">
        <v>2</v>
      </c>
    </row>
    <row r="50" spans="1:8" x14ac:dyDescent="0.25">
      <c r="A50" t="s">
        <v>71</v>
      </c>
      <c r="B50" t="s">
        <v>77</v>
      </c>
      <c r="C50" t="s">
        <v>55</v>
      </c>
      <c r="D50" t="s">
        <v>213</v>
      </c>
      <c r="E50" t="s">
        <v>75</v>
      </c>
      <c r="F50">
        <v>6939</v>
      </c>
      <c r="G50">
        <v>3470</v>
      </c>
      <c r="H50">
        <v>2</v>
      </c>
    </row>
    <row r="51" spans="1:8" x14ac:dyDescent="0.25">
      <c r="A51" t="s">
        <v>186</v>
      </c>
      <c r="B51" t="s">
        <v>190</v>
      </c>
      <c r="C51" t="s">
        <v>55</v>
      </c>
      <c r="D51" t="s">
        <v>197</v>
      </c>
      <c r="E51" t="s">
        <v>75</v>
      </c>
      <c r="F51">
        <v>30152</v>
      </c>
      <c r="G51">
        <v>3350</v>
      </c>
      <c r="H51">
        <v>9</v>
      </c>
    </row>
    <row r="52" spans="1:8" x14ac:dyDescent="0.25">
      <c r="A52" t="s">
        <v>186</v>
      </c>
      <c r="B52" t="s">
        <v>187</v>
      </c>
      <c r="C52" t="s">
        <v>55</v>
      </c>
      <c r="D52" t="s">
        <v>197</v>
      </c>
      <c r="E52" t="s">
        <v>75</v>
      </c>
      <c r="F52">
        <v>26110</v>
      </c>
      <c r="G52">
        <v>3264</v>
      </c>
      <c r="H52">
        <v>8</v>
      </c>
    </row>
    <row r="53" spans="1:8" x14ac:dyDescent="0.25">
      <c r="A53" t="s">
        <v>186</v>
      </c>
      <c r="B53" t="s">
        <v>188</v>
      </c>
      <c r="C53" t="s">
        <v>55</v>
      </c>
      <c r="D53" t="s">
        <v>197</v>
      </c>
      <c r="E53" t="s">
        <v>75</v>
      </c>
      <c r="F53">
        <v>24180</v>
      </c>
      <c r="G53">
        <v>2418</v>
      </c>
      <c r="H53">
        <v>10</v>
      </c>
    </row>
    <row r="54" spans="1:8" x14ac:dyDescent="0.25">
      <c r="A54" t="s">
        <v>186</v>
      </c>
      <c r="B54" t="s">
        <v>189</v>
      </c>
      <c r="C54" t="s">
        <v>55</v>
      </c>
      <c r="D54" t="s">
        <v>197</v>
      </c>
      <c r="E54" t="s">
        <v>75</v>
      </c>
      <c r="F54">
        <v>44922</v>
      </c>
      <c r="G54">
        <v>5615</v>
      </c>
      <c r="H54">
        <v>8</v>
      </c>
    </row>
    <row r="55" spans="1:8" x14ac:dyDescent="0.25">
      <c r="A55" t="s">
        <v>71</v>
      </c>
      <c r="B55" t="s">
        <v>76</v>
      </c>
      <c r="C55" t="s">
        <v>55</v>
      </c>
      <c r="D55" t="s">
        <v>197</v>
      </c>
      <c r="E55" t="s">
        <v>75</v>
      </c>
      <c r="F55">
        <v>47212</v>
      </c>
      <c r="G55">
        <v>5246</v>
      </c>
      <c r="H55">
        <v>9</v>
      </c>
    </row>
    <row r="56" spans="1:8" x14ac:dyDescent="0.25">
      <c r="A56" t="s">
        <v>71</v>
      </c>
      <c r="B56" t="s">
        <v>72</v>
      </c>
      <c r="C56" t="s">
        <v>55</v>
      </c>
      <c r="D56" t="s">
        <v>197</v>
      </c>
      <c r="E56" t="s">
        <v>75</v>
      </c>
      <c r="F56">
        <v>42083</v>
      </c>
      <c r="G56">
        <v>4676</v>
      </c>
      <c r="H56">
        <v>9</v>
      </c>
    </row>
    <row r="57" spans="1:8" x14ac:dyDescent="0.25">
      <c r="A57" t="s">
        <v>71</v>
      </c>
      <c r="B57" t="s">
        <v>77</v>
      </c>
      <c r="C57" t="s">
        <v>55</v>
      </c>
      <c r="D57" t="s">
        <v>197</v>
      </c>
      <c r="E57" t="s">
        <v>75</v>
      </c>
      <c r="F57">
        <v>26665</v>
      </c>
      <c r="G57">
        <v>3809</v>
      </c>
      <c r="H57">
        <v>7</v>
      </c>
    </row>
    <row r="58" spans="1:8" x14ac:dyDescent="0.25">
      <c r="A58" t="s">
        <v>186</v>
      </c>
      <c r="B58" t="s">
        <v>188</v>
      </c>
      <c r="C58" t="s">
        <v>55</v>
      </c>
      <c r="D58" t="s">
        <v>214</v>
      </c>
      <c r="E58" t="s">
        <v>75</v>
      </c>
      <c r="F58">
        <v>176</v>
      </c>
      <c r="G58">
        <v>176</v>
      </c>
      <c r="H58">
        <v>1</v>
      </c>
    </row>
    <row r="59" spans="1:8" x14ac:dyDescent="0.25">
      <c r="A59" t="s">
        <v>186</v>
      </c>
      <c r="B59" t="s">
        <v>189</v>
      </c>
      <c r="C59" t="s">
        <v>55</v>
      </c>
      <c r="D59" t="s">
        <v>214</v>
      </c>
      <c r="E59" t="s">
        <v>75</v>
      </c>
      <c r="F59">
        <v>657</v>
      </c>
      <c r="G59">
        <v>657</v>
      </c>
      <c r="H59">
        <v>1</v>
      </c>
    </row>
    <row r="60" spans="1:8" x14ac:dyDescent="0.25">
      <c r="A60" t="s">
        <v>186</v>
      </c>
      <c r="B60" t="s">
        <v>190</v>
      </c>
      <c r="C60" t="s">
        <v>55</v>
      </c>
      <c r="D60" t="s">
        <v>198</v>
      </c>
      <c r="E60" t="s">
        <v>75</v>
      </c>
      <c r="F60">
        <v>640</v>
      </c>
      <c r="G60">
        <v>320</v>
      </c>
      <c r="H60">
        <v>2</v>
      </c>
    </row>
    <row r="61" spans="1:8" x14ac:dyDescent="0.25">
      <c r="A61" t="s">
        <v>186</v>
      </c>
      <c r="B61" t="s">
        <v>187</v>
      </c>
      <c r="C61" t="s">
        <v>55</v>
      </c>
      <c r="D61" t="s">
        <v>198</v>
      </c>
      <c r="E61" t="s">
        <v>75</v>
      </c>
      <c r="F61">
        <v>550</v>
      </c>
      <c r="G61">
        <v>275</v>
      </c>
      <c r="H61">
        <v>2</v>
      </c>
    </row>
    <row r="62" spans="1:8" x14ac:dyDescent="0.25">
      <c r="A62" t="s">
        <v>71</v>
      </c>
      <c r="B62" t="s">
        <v>76</v>
      </c>
      <c r="C62" t="s">
        <v>55</v>
      </c>
      <c r="D62" t="s">
        <v>198</v>
      </c>
      <c r="E62" t="s">
        <v>75</v>
      </c>
      <c r="F62">
        <v>7192</v>
      </c>
      <c r="G62">
        <v>3596</v>
      </c>
      <c r="H62">
        <v>2</v>
      </c>
    </row>
    <row r="63" spans="1:8" x14ac:dyDescent="0.25">
      <c r="A63" t="s">
        <v>71</v>
      </c>
      <c r="B63" t="s">
        <v>76</v>
      </c>
      <c r="C63" t="s">
        <v>55</v>
      </c>
      <c r="D63" t="s">
        <v>215</v>
      </c>
      <c r="E63" t="s">
        <v>75</v>
      </c>
      <c r="F63">
        <v>688</v>
      </c>
    </row>
    <row r="64" spans="1:8" x14ac:dyDescent="0.25">
      <c r="A64" t="s">
        <v>186</v>
      </c>
      <c r="B64" t="s">
        <v>190</v>
      </c>
      <c r="C64" t="s">
        <v>55</v>
      </c>
      <c r="D64" t="s">
        <v>199</v>
      </c>
      <c r="E64" t="s">
        <v>75</v>
      </c>
      <c r="F64">
        <v>2588</v>
      </c>
      <c r="G64">
        <v>2588</v>
      </c>
      <c r="H64">
        <v>1</v>
      </c>
    </row>
    <row r="65" spans="1:8" x14ac:dyDescent="0.25">
      <c r="A65" t="s">
        <v>186</v>
      </c>
      <c r="B65" t="s">
        <v>188</v>
      </c>
      <c r="C65" t="s">
        <v>55</v>
      </c>
      <c r="D65" t="s">
        <v>199</v>
      </c>
      <c r="E65" t="s">
        <v>75</v>
      </c>
      <c r="F65">
        <v>2248</v>
      </c>
      <c r="G65">
        <v>2248</v>
      </c>
      <c r="H65">
        <v>1</v>
      </c>
    </row>
    <row r="66" spans="1:8" x14ac:dyDescent="0.25">
      <c r="A66" t="s">
        <v>186</v>
      </c>
      <c r="B66" t="s">
        <v>190</v>
      </c>
      <c r="C66" t="s">
        <v>55</v>
      </c>
      <c r="D66" t="s">
        <v>200</v>
      </c>
      <c r="E66" t="s">
        <v>75</v>
      </c>
      <c r="F66">
        <v>3425430</v>
      </c>
      <c r="G66">
        <v>5429</v>
      </c>
      <c r="H66">
        <v>631</v>
      </c>
    </row>
    <row r="67" spans="1:8" x14ac:dyDescent="0.25">
      <c r="A67" t="s">
        <v>186</v>
      </c>
      <c r="B67" t="s">
        <v>187</v>
      </c>
      <c r="C67" t="s">
        <v>55</v>
      </c>
      <c r="D67" t="s">
        <v>200</v>
      </c>
      <c r="E67" t="s">
        <v>75</v>
      </c>
      <c r="F67">
        <v>3616586</v>
      </c>
      <c r="G67">
        <v>5686</v>
      </c>
      <c r="H67">
        <v>636</v>
      </c>
    </row>
    <row r="68" spans="1:8" x14ac:dyDescent="0.25">
      <c r="A68" t="s">
        <v>186</v>
      </c>
      <c r="B68" t="s">
        <v>188</v>
      </c>
      <c r="C68" t="s">
        <v>55</v>
      </c>
      <c r="D68" t="s">
        <v>200</v>
      </c>
      <c r="E68" t="s">
        <v>75</v>
      </c>
      <c r="F68">
        <v>3335987</v>
      </c>
      <c r="G68">
        <v>5478</v>
      </c>
      <c r="H68">
        <v>609</v>
      </c>
    </row>
    <row r="69" spans="1:8" x14ac:dyDescent="0.25">
      <c r="A69" t="s">
        <v>186</v>
      </c>
      <c r="B69" t="s">
        <v>189</v>
      </c>
      <c r="C69" t="s">
        <v>55</v>
      </c>
      <c r="D69" t="s">
        <v>200</v>
      </c>
      <c r="E69" t="s">
        <v>75</v>
      </c>
      <c r="F69">
        <v>5137144</v>
      </c>
      <c r="G69">
        <v>6822</v>
      </c>
      <c r="H69">
        <v>753</v>
      </c>
    </row>
    <row r="70" spans="1:8" x14ac:dyDescent="0.25">
      <c r="A70" t="s">
        <v>71</v>
      </c>
      <c r="B70" t="s">
        <v>76</v>
      </c>
      <c r="C70" t="s">
        <v>55</v>
      </c>
      <c r="D70" t="s">
        <v>200</v>
      </c>
      <c r="E70" t="s">
        <v>75</v>
      </c>
      <c r="F70">
        <v>4280582</v>
      </c>
      <c r="G70">
        <v>5904</v>
      </c>
      <c r="H70">
        <v>725</v>
      </c>
    </row>
    <row r="71" spans="1:8" x14ac:dyDescent="0.25">
      <c r="A71" t="s">
        <v>71</v>
      </c>
      <c r="B71" t="s">
        <v>72</v>
      </c>
      <c r="C71" t="s">
        <v>55</v>
      </c>
      <c r="D71" t="s">
        <v>200</v>
      </c>
      <c r="E71" t="s">
        <v>75</v>
      </c>
      <c r="F71">
        <v>3520210</v>
      </c>
      <c r="G71">
        <v>5162</v>
      </c>
      <c r="H71">
        <v>682</v>
      </c>
    </row>
    <row r="72" spans="1:8" x14ac:dyDescent="0.25">
      <c r="A72" t="s">
        <v>71</v>
      </c>
      <c r="B72" t="s">
        <v>77</v>
      </c>
      <c r="C72" t="s">
        <v>55</v>
      </c>
      <c r="D72" t="s">
        <v>200</v>
      </c>
      <c r="E72" t="s">
        <v>75</v>
      </c>
      <c r="F72">
        <v>3081397</v>
      </c>
      <c r="G72">
        <v>4994</v>
      </c>
      <c r="H72">
        <v>617</v>
      </c>
    </row>
    <row r="73" spans="1:8" x14ac:dyDescent="0.25">
      <c r="A73" t="s">
        <v>186</v>
      </c>
      <c r="B73" t="s">
        <v>190</v>
      </c>
      <c r="C73" t="s">
        <v>55</v>
      </c>
      <c r="D73" t="s">
        <v>203</v>
      </c>
      <c r="E73" t="s">
        <v>75</v>
      </c>
      <c r="F73">
        <v>985</v>
      </c>
      <c r="G73">
        <v>492</v>
      </c>
      <c r="H73">
        <v>2</v>
      </c>
    </row>
    <row r="74" spans="1:8" x14ac:dyDescent="0.25">
      <c r="A74" t="s">
        <v>186</v>
      </c>
      <c r="B74" t="s">
        <v>187</v>
      </c>
      <c r="C74" t="s">
        <v>55</v>
      </c>
      <c r="D74" t="s">
        <v>203</v>
      </c>
      <c r="E74" t="s">
        <v>75</v>
      </c>
      <c r="F74">
        <v>2169</v>
      </c>
      <c r="G74">
        <v>542</v>
      </c>
      <c r="H74">
        <v>4</v>
      </c>
    </row>
    <row r="75" spans="1:8" x14ac:dyDescent="0.25">
      <c r="A75" t="s">
        <v>186</v>
      </c>
      <c r="B75" t="s">
        <v>188</v>
      </c>
      <c r="C75" t="s">
        <v>55</v>
      </c>
      <c r="D75" t="s">
        <v>203</v>
      </c>
      <c r="E75" t="s">
        <v>75</v>
      </c>
      <c r="F75">
        <v>863</v>
      </c>
      <c r="G75">
        <v>216</v>
      </c>
      <c r="H75">
        <v>4</v>
      </c>
    </row>
    <row r="76" spans="1:8" x14ac:dyDescent="0.25">
      <c r="A76" t="s">
        <v>186</v>
      </c>
      <c r="B76" t="s">
        <v>189</v>
      </c>
      <c r="C76" t="s">
        <v>55</v>
      </c>
      <c r="D76" t="s">
        <v>203</v>
      </c>
      <c r="E76" t="s">
        <v>75</v>
      </c>
      <c r="F76">
        <v>4144</v>
      </c>
      <c r="G76">
        <v>2072</v>
      </c>
      <c r="H76">
        <v>2</v>
      </c>
    </row>
    <row r="77" spans="1:8" x14ac:dyDescent="0.25">
      <c r="A77" t="s">
        <v>71</v>
      </c>
      <c r="B77" t="s">
        <v>76</v>
      </c>
      <c r="C77" t="s">
        <v>55</v>
      </c>
      <c r="D77" t="s">
        <v>203</v>
      </c>
      <c r="E77" t="s">
        <v>75</v>
      </c>
      <c r="F77">
        <v>1794</v>
      </c>
      <c r="G77">
        <v>897</v>
      </c>
      <c r="H77">
        <v>2</v>
      </c>
    </row>
    <row r="78" spans="1:8" x14ac:dyDescent="0.25">
      <c r="A78" t="s">
        <v>71</v>
      </c>
      <c r="B78" t="s">
        <v>72</v>
      </c>
      <c r="C78" t="s">
        <v>55</v>
      </c>
      <c r="D78" t="s">
        <v>203</v>
      </c>
      <c r="E78" t="s">
        <v>75</v>
      </c>
      <c r="F78">
        <v>1043</v>
      </c>
      <c r="G78">
        <v>522</v>
      </c>
      <c r="H78">
        <v>2</v>
      </c>
    </row>
    <row r="79" spans="1:8" x14ac:dyDescent="0.25">
      <c r="A79" t="s">
        <v>71</v>
      </c>
      <c r="B79" t="s">
        <v>77</v>
      </c>
      <c r="C79" t="s">
        <v>55</v>
      </c>
      <c r="D79" t="s">
        <v>203</v>
      </c>
      <c r="E79" t="s">
        <v>75</v>
      </c>
      <c r="F79">
        <v>1806</v>
      </c>
      <c r="G79">
        <v>602</v>
      </c>
      <c r="H79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K16" sqref="K16"/>
    </sheetView>
  </sheetViews>
  <sheetFormatPr baseColWidth="10" defaultRowHeight="15" x14ac:dyDescent="0.25"/>
  <sheetData>
    <row r="1" spans="1:7" x14ac:dyDescent="0.25">
      <c r="A1" t="s">
        <v>62</v>
      </c>
      <c r="B1" t="s">
        <v>63</v>
      </c>
      <c r="C1" t="s">
        <v>64</v>
      </c>
      <c r="D1" t="s">
        <v>67</v>
      </c>
      <c r="E1" t="s">
        <v>68</v>
      </c>
      <c r="F1" t="s">
        <v>69</v>
      </c>
      <c r="G1" t="s">
        <v>70</v>
      </c>
    </row>
    <row r="2" spans="1:7" x14ac:dyDescent="0.25">
      <c r="A2" t="s">
        <v>186</v>
      </c>
      <c r="B2" t="s">
        <v>190</v>
      </c>
      <c r="C2" t="s">
        <v>5</v>
      </c>
      <c r="D2" t="s">
        <v>75</v>
      </c>
      <c r="E2">
        <v>3374028</v>
      </c>
      <c r="F2">
        <v>6415</v>
      </c>
      <c r="G2">
        <v>526</v>
      </c>
    </row>
    <row r="3" spans="1:7" x14ac:dyDescent="0.25">
      <c r="A3" t="s">
        <v>186</v>
      </c>
      <c r="B3" t="s">
        <v>187</v>
      </c>
      <c r="C3" t="s">
        <v>5</v>
      </c>
      <c r="D3" t="s">
        <v>75</v>
      </c>
      <c r="E3">
        <v>3527315</v>
      </c>
      <c r="F3">
        <v>6744</v>
      </c>
      <c r="G3">
        <v>523</v>
      </c>
    </row>
    <row r="4" spans="1:7" x14ac:dyDescent="0.25">
      <c r="A4" t="s">
        <v>186</v>
      </c>
      <c r="B4" t="s">
        <v>188</v>
      </c>
      <c r="C4" t="s">
        <v>5</v>
      </c>
      <c r="D4" t="s">
        <v>75</v>
      </c>
      <c r="E4">
        <v>3997127</v>
      </c>
      <c r="F4">
        <v>6809</v>
      </c>
      <c r="G4">
        <v>587</v>
      </c>
    </row>
    <row r="5" spans="1:7" x14ac:dyDescent="0.25">
      <c r="A5" t="s">
        <v>186</v>
      </c>
      <c r="B5" t="s">
        <v>189</v>
      </c>
      <c r="C5" t="s">
        <v>5</v>
      </c>
      <c r="D5" t="s">
        <v>75</v>
      </c>
      <c r="E5">
        <v>3861833</v>
      </c>
      <c r="F5">
        <v>6613</v>
      </c>
      <c r="G5">
        <v>584</v>
      </c>
    </row>
    <row r="6" spans="1:7" x14ac:dyDescent="0.25">
      <c r="A6" t="s">
        <v>71</v>
      </c>
      <c r="B6" t="s">
        <v>76</v>
      </c>
      <c r="C6" t="s">
        <v>5</v>
      </c>
      <c r="D6" t="s">
        <v>75</v>
      </c>
      <c r="E6">
        <v>3821445</v>
      </c>
      <c r="F6">
        <v>6348</v>
      </c>
      <c r="G6">
        <v>602</v>
      </c>
    </row>
    <row r="7" spans="1:7" x14ac:dyDescent="0.25">
      <c r="A7" t="s">
        <v>71</v>
      </c>
      <c r="B7" t="s">
        <v>72</v>
      </c>
      <c r="C7" t="s">
        <v>5</v>
      </c>
      <c r="D7" t="s">
        <v>75</v>
      </c>
      <c r="E7">
        <v>3118872</v>
      </c>
      <c r="F7">
        <v>5712</v>
      </c>
      <c r="G7">
        <v>546</v>
      </c>
    </row>
    <row r="8" spans="1:7" x14ac:dyDescent="0.25">
      <c r="A8" t="s">
        <v>71</v>
      </c>
      <c r="B8" t="s">
        <v>77</v>
      </c>
      <c r="C8" t="s">
        <v>5</v>
      </c>
      <c r="D8" t="s">
        <v>75</v>
      </c>
      <c r="E8">
        <v>3489961</v>
      </c>
      <c r="F8">
        <v>6112</v>
      </c>
      <c r="G8">
        <v>571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D32" sqref="D32"/>
    </sheetView>
  </sheetViews>
  <sheetFormatPr baseColWidth="10" defaultRowHeight="15" x14ac:dyDescent="0.25"/>
  <sheetData>
    <row r="1" spans="1:7" x14ac:dyDescent="0.25">
      <c r="A1" t="s">
        <v>62</v>
      </c>
      <c r="B1" t="s">
        <v>63</v>
      </c>
      <c r="C1" t="s">
        <v>64</v>
      </c>
      <c r="D1" t="s">
        <v>67</v>
      </c>
      <c r="E1" t="s">
        <v>68</v>
      </c>
      <c r="F1" t="s">
        <v>69</v>
      </c>
      <c r="G1" t="s">
        <v>70</v>
      </c>
    </row>
    <row r="2" spans="1:7" x14ac:dyDescent="0.25">
      <c r="A2" t="s">
        <v>186</v>
      </c>
      <c r="B2" t="s">
        <v>190</v>
      </c>
      <c r="C2" t="s">
        <v>5</v>
      </c>
      <c r="D2" t="s">
        <v>75</v>
      </c>
      <c r="E2">
        <v>41307342</v>
      </c>
      <c r="F2">
        <v>9375</v>
      </c>
      <c r="G2">
        <v>4406</v>
      </c>
    </row>
    <row r="3" spans="1:7" x14ac:dyDescent="0.25">
      <c r="A3" t="s">
        <v>186</v>
      </c>
      <c r="B3" t="s">
        <v>187</v>
      </c>
      <c r="C3" t="s">
        <v>5</v>
      </c>
      <c r="D3" t="s">
        <v>75</v>
      </c>
      <c r="E3">
        <v>38108569</v>
      </c>
      <c r="F3">
        <v>8558</v>
      </c>
      <c r="G3">
        <v>4453</v>
      </c>
    </row>
    <row r="4" spans="1:7" x14ac:dyDescent="0.25">
      <c r="A4" t="s">
        <v>186</v>
      </c>
      <c r="B4" t="s">
        <v>188</v>
      </c>
      <c r="C4" t="s">
        <v>5</v>
      </c>
      <c r="D4" t="s">
        <v>75</v>
      </c>
      <c r="E4">
        <v>44493685</v>
      </c>
      <c r="F4">
        <v>9719</v>
      </c>
      <c r="G4">
        <v>4578</v>
      </c>
    </row>
    <row r="5" spans="1:7" x14ac:dyDescent="0.25">
      <c r="A5" t="s">
        <v>186</v>
      </c>
      <c r="B5" t="s">
        <v>189</v>
      </c>
      <c r="C5" t="s">
        <v>5</v>
      </c>
      <c r="D5" t="s">
        <v>75</v>
      </c>
      <c r="E5">
        <v>45734996</v>
      </c>
      <c r="F5">
        <v>9542</v>
      </c>
      <c r="G5">
        <v>4793</v>
      </c>
    </row>
    <row r="6" spans="1:7" x14ac:dyDescent="0.25">
      <c r="A6" t="s">
        <v>71</v>
      </c>
      <c r="B6" t="s">
        <v>76</v>
      </c>
      <c r="C6" t="s">
        <v>5</v>
      </c>
      <c r="D6" t="s">
        <v>75</v>
      </c>
      <c r="E6">
        <v>45875290</v>
      </c>
      <c r="F6">
        <v>9668</v>
      </c>
      <c r="G6">
        <v>4745</v>
      </c>
    </row>
    <row r="7" spans="1:7" x14ac:dyDescent="0.25">
      <c r="A7" t="s">
        <v>71</v>
      </c>
      <c r="B7" t="s">
        <v>72</v>
      </c>
      <c r="C7" t="s">
        <v>5</v>
      </c>
      <c r="D7" t="s">
        <v>75</v>
      </c>
      <c r="E7">
        <v>38937884</v>
      </c>
      <c r="F7">
        <v>8852</v>
      </c>
      <c r="G7">
        <v>4399</v>
      </c>
    </row>
    <row r="8" spans="1:7" x14ac:dyDescent="0.25">
      <c r="A8" t="s">
        <v>71</v>
      </c>
      <c r="B8" t="s">
        <v>77</v>
      </c>
      <c r="C8" t="s">
        <v>5</v>
      </c>
      <c r="D8" t="s">
        <v>75</v>
      </c>
      <c r="E8">
        <v>43181421</v>
      </c>
      <c r="F8">
        <v>9598</v>
      </c>
      <c r="G8">
        <v>4499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651"/>
  <sheetViews>
    <sheetView workbookViewId="0">
      <selection activeCell="K655" sqref="K655"/>
    </sheetView>
  </sheetViews>
  <sheetFormatPr baseColWidth="10" defaultRowHeight="15" x14ac:dyDescent="0.25"/>
  <cols>
    <col min="6" max="7" width="11.42578125" style="171"/>
  </cols>
  <sheetData>
    <row r="1" spans="1:8" x14ac:dyDescent="0.25">
      <c r="A1" t="s">
        <v>62</v>
      </c>
      <c r="B1" t="s">
        <v>63</v>
      </c>
      <c r="C1" t="s">
        <v>64</v>
      </c>
      <c r="D1" t="s">
        <v>65</v>
      </c>
      <c r="E1" t="s">
        <v>67</v>
      </c>
      <c r="F1" s="171" t="s">
        <v>68</v>
      </c>
      <c r="G1" s="171" t="s">
        <v>69</v>
      </c>
      <c r="H1" t="s">
        <v>70</v>
      </c>
    </row>
    <row r="2" spans="1:8" hidden="1" x14ac:dyDescent="0.25">
      <c r="A2" t="s">
        <v>186</v>
      </c>
      <c r="B2" t="s">
        <v>190</v>
      </c>
      <c r="C2" t="s">
        <v>52</v>
      </c>
      <c r="D2" t="s">
        <v>73</v>
      </c>
      <c r="E2" t="s">
        <v>75</v>
      </c>
      <c r="F2" s="171">
        <v>7097</v>
      </c>
      <c r="G2" s="171">
        <v>1774</v>
      </c>
      <c r="H2">
        <v>4</v>
      </c>
    </row>
    <row r="3" spans="1:8" hidden="1" x14ac:dyDescent="0.25">
      <c r="A3" t="s">
        <v>186</v>
      </c>
      <c r="B3" t="s">
        <v>190</v>
      </c>
      <c r="C3" t="s">
        <v>52</v>
      </c>
      <c r="D3" t="s">
        <v>80</v>
      </c>
      <c r="E3" t="s">
        <v>75</v>
      </c>
      <c r="F3" s="171">
        <v>7880</v>
      </c>
      <c r="G3" s="171">
        <v>7880</v>
      </c>
      <c r="H3">
        <v>1</v>
      </c>
    </row>
    <row r="4" spans="1:8" hidden="1" x14ac:dyDescent="0.25">
      <c r="A4" t="s">
        <v>186</v>
      </c>
      <c r="B4" t="s">
        <v>190</v>
      </c>
      <c r="C4" t="s">
        <v>52</v>
      </c>
      <c r="D4" t="s">
        <v>82</v>
      </c>
      <c r="E4" t="s">
        <v>75</v>
      </c>
      <c r="F4" s="171">
        <v>136332</v>
      </c>
      <c r="G4" s="171">
        <v>6817</v>
      </c>
      <c r="H4">
        <v>20</v>
      </c>
    </row>
    <row r="5" spans="1:8" hidden="1" x14ac:dyDescent="0.25">
      <c r="A5" t="s">
        <v>186</v>
      </c>
      <c r="B5" t="s">
        <v>190</v>
      </c>
      <c r="C5" t="s">
        <v>52</v>
      </c>
      <c r="D5" t="s">
        <v>84</v>
      </c>
      <c r="E5" t="s">
        <v>75</v>
      </c>
      <c r="F5" s="171">
        <v>39648</v>
      </c>
      <c r="G5" s="171">
        <v>3965</v>
      </c>
      <c r="H5">
        <v>10</v>
      </c>
    </row>
    <row r="6" spans="1:8" hidden="1" x14ac:dyDescent="0.25">
      <c r="A6" t="s">
        <v>186</v>
      </c>
      <c r="B6" t="s">
        <v>190</v>
      </c>
      <c r="C6" t="s">
        <v>52</v>
      </c>
      <c r="D6" t="s">
        <v>86</v>
      </c>
      <c r="E6" t="s">
        <v>75</v>
      </c>
      <c r="F6" s="171">
        <v>179469</v>
      </c>
      <c r="G6" s="171">
        <v>5789</v>
      </c>
      <c r="H6">
        <v>31</v>
      </c>
    </row>
    <row r="7" spans="1:8" hidden="1" x14ac:dyDescent="0.25">
      <c r="A7" t="s">
        <v>186</v>
      </c>
      <c r="B7" t="s">
        <v>190</v>
      </c>
      <c r="C7" t="s">
        <v>52</v>
      </c>
      <c r="D7" t="s">
        <v>89</v>
      </c>
      <c r="E7" t="s">
        <v>75</v>
      </c>
      <c r="F7" s="171">
        <v>188096</v>
      </c>
      <c r="G7" s="171">
        <v>3688</v>
      </c>
      <c r="H7">
        <v>51</v>
      </c>
    </row>
    <row r="8" spans="1:8" hidden="1" x14ac:dyDescent="0.25">
      <c r="A8" t="s">
        <v>186</v>
      </c>
      <c r="B8" t="s">
        <v>190</v>
      </c>
      <c r="C8" t="s">
        <v>52</v>
      </c>
      <c r="D8" t="s">
        <v>91</v>
      </c>
      <c r="E8" t="s">
        <v>75</v>
      </c>
      <c r="F8" s="171">
        <v>1414575</v>
      </c>
      <c r="G8" s="171">
        <v>6204</v>
      </c>
      <c r="H8">
        <v>228</v>
      </c>
    </row>
    <row r="9" spans="1:8" hidden="1" x14ac:dyDescent="0.25">
      <c r="A9" t="s">
        <v>186</v>
      </c>
      <c r="B9" t="s">
        <v>190</v>
      </c>
      <c r="C9" t="s">
        <v>52</v>
      </c>
      <c r="D9" t="s">
        <v>100</v>
      </c>
      <c r="E9" t="s">
        <v>75</v>
      </c>
      <c r="F9" s="171">
        <v>1822687</v>
      </c>
      <c r="G9" s="171">
        <v>8679</v>
      </c>
      <c r="H9">
        <v>210</v>
      </c>
    </row>
    <row r="10" spans="1:8" hidden="1" x14ac:dyDescent="0.25">
      <c r="A10" t="s">
        <v>186</v>
      </c>
      <c r="B10" t="s">
        <v>190</v>
      </c>
      <c r="C10" t="s">
        <v>52</v>
      </c>
      <c r="D10" t="s">
        <v>101</v>
      </c>
      <c r="E10" t="s">
        <v>75</v>
      </c>
      <c r="F10" s="171">
        <v>105501</v>
      </c>
      <c r="G10" s="171">
        <v>4796</v>
      </c>
      <c r="H10">
        <v>22</v>
      </c>
    </row>
    <row r="11" spans="1:8" hidden="1" x14ac:dyDescent="0.25">
      <c r="A11" t="s">
        <v>186</v>
      </c>
      <c r="B11" t="s">
        <v>190</v>
      </c>
      <c r="C11" t="s">
        <v>52</v>
      </c>
      <c r="D11" t="s">
        <v>102</v>
      </c>
      <c r="E11" t="s">
        <v>75</v>
      </c>
      <c r="F11" s="171">
        <v>4949683</v>
      </c>
      <c r="G11" s="171">
        <v>5858</v>
      </c>
      <c r="H11">
        <v>845</v>
      </c>
    </row>
    <row r="12" spans="1:8" hidden="1" x14ac:dyDescent="0.25">
      <c r="A12" t="s">
        <v>186</v>
      </c>
      <c r="B12" t="s">
        <v>190</v>
      </c>
      <c r="C12" t="s">
        <v>52</v>
      </c>
      <c r="D12" t="s">
        <v>107</v>
      </c>
      <c r="E12" t="s">
        <v>75</v>
      </c>
      <c r="F12" s="171">
        <v>998696</v>
      </c>
      <c r="G12" s="171">
        <v>7802</v>
      </c>
      <c r="H12">
        <v>128</v>
      </c>
    </row>
    <row r="13" spans="1:8" hidden="1" x14ac:dyDescent="0.25">
      <c r="A13" t="s">
        <v>186</v>
      </c>
      <c r="B13" t="s">
        <v>190</v>
      </c>
      <c r="C13" t="s">
        <v>52</v>
      </c>
      <c r="D13" t="s">
        <v>115</v>
      </c>
      <c r="E13" t="s">
        <v>75</v>
      </c>
      <c r="F13" s="171">
        <v>286589</v>
      </c>
      <c r="G13" s="171">
        <v>8956</v>
      </c>
      <c r="H13">
        <v>32</v>
      </c>
    </row>
    <row r="14" spans="1:8" hidden="1" x14ac:dyDescent="0.25">
      <c r="A14" t="s">
        <v>186</v>
      </c>
      <c r="B14" t="s">
        <v>190</v>
      </c>
      <c r="C14" t="s">
        <v>52</v>
      </c>
      <c r="D14" t="s">
        <v>119</v>
      </c>
      <c r="E14" t="s">
        <v>75</v>
      </c>
      <c r="F14" s="171">
        <v>4234246</v>
      </c>
      <c r="G14" s="171">
        <v>8712</v>
      </c>
      <c r="H14">
        <v>486</v>
      </c>
    </row>
    <row r="15" spans="1:8" hidden="1" x14ac:dyDescent="0.25">
      <c r="A15" t="s">
        <v>186</v>
      </c>
      <c r="B15" t="s">
        <v>190</v>
      </c>
      <c r="C15" t="s">
        <v>52</v>
      </c>
      <c r="D15" t="s">
        <v>121</v>
      </c>
      <c r="E15" t="s">
        <v>75</v>
      </c>
      <c r="F15" s="171">
        <v>5711568</v>
      </c>
      <c r="G15" s="171">
        <v>12283</v>
      </c>
      <c r="H15">
        <v>465</v>
      </c>
    </row>
    <row r="16" spans="1:8" hidden="1" x14ac:dyDescent="0.25">
      <c r="A16" t="s">
        <v>186</v>
      </c>
      <c r="B16" t="s">
        <v>190</v>
      </c>
      <c r="C16" t="s">
        <v>52</v>
      </c>
      <c r="D16" t="s">
        <v>125</v>
      </c>
      <c r="E16" t="s">
        <v>75</v>
      </c>
      <c r="F16" s="171">
        <v>11490496</v>
      </c>
      <c r="G16" s="171">
        <v>27229</v>
      </c>
      <c r="H16">
        <v>422</v>
      </c>
    </row>
    <row r="17" spans="1:8" hidden="1" x14ac:dyDescent="0.25">
      <c r="A17" t="s">
        <v>186</v>
      </c>
      <c r="B17" t="s">
        <v>190</v>
      </c>
      <c r="C17" t="s">
        <v>52</v>
      </c>
      <c r="D17" t="s">
        <v>128</v>
      </c>
      <c r="E17" t="s">
        <v>75</v>
      </c>
      <c r="F17" s="171">
        <v>92962</v>
      </c>
      <c r="G17" s="171">
        <v>2267</v>
      </c>
      <c r="H17">
        <v>41</v>
      </c>
    </row>
    <row r="18" spans="1:8" hidden="1" x14ac:dyDescent="0.25">
      <c r="A18" t="s">
        <v>186</v>
      </c>
      <c r="B18" t="s">
        <v>190</v>
      </c>
      <c r="C18" t="s">
        <v>52</v>
      </c>
      <c r="D18" t="s">
        <v>130</v>
      </c>
      <c r="E18" t="s">
        <v>75</v>
      </c>
      <c r="F18" s="171">
        <v>12614</v>
      </c>
      <c r="G18" s="171">
        <v>2523</v>
      </c>
      <c r="H18">
        <v>5</v>
      </c>
    </row>
    <row r="19" spans="1:8" hidden="1" x14ac:dyDescent="0.25">
      <c r="A19" t="s">
        <v>186</v>
      </c>
      <c r="B19" t="s">
        <v>190</v>
      </c>
      <c r="C19" t="s">
        <v>52</v>
      </c>
      <c r="D19" t="s">
        <v>133</v>
      </c>
      <c r="E19" t="s">
        <v>75</v>
      </c>
      <c r="F19" s="171">
        <v>985454</v>
      </c>
      <c r="G19" s="171">
        <v>7409</v>
      </c>
      <c r="H19">
        <v>133</v>
      </c>
    </row>
    <row r="20" spans="1:8" hidden="1" x14ac:dyDescent="0.25">
      <c r="A20" t="s">
        <v>186</v>
      </c>
      <c r="B20" t="s">
        <v>190</v>
      </c>
      <c r="C20" t="s">
        <v>52</v>
      </c>
      <c r="D20" t="s">
        <v>138</v>
      </c>
      <c r="E20" t="s">
        <v>75</v>
      </c>
      <c r="F20" s="171">
        <v>2003903</v>
      </c>
      <c r="G20" s="171">
        <v>9364</v>
      </c>
      <c r="H20">
        <v>214</v>
      </c>
    </row>
    <row r="21" spans="1:8" hidden="1" x14ac:dyDescent="0.25">
      <c r="A21" t="s">
        <v>186</v>
      </c>
      <c r="B21" t="s">
        <v>190</v>
      </c>
      <c r="C21" t="s">
        <v>52</v>
      </c>
      <c r="D21" t="s">
        <v>140</v>
      </c>
      <c r="E21" t="s">
        <v>75</v>
      </c>
      <c r="F21" s="171">
        <v>74536</v>
      </c>
      <c r="G21" s="171">
        <v>6776</v>
      </c>
      <c r="H21">
        <v>11</v>
      </c>
    </row>
    <row r="22" spans="1:8" hidden="1" x14ac:dyDescent="0.25">
      <c r="A22" t="s">
        <v>186</v>
      </c>
      <c r="B22" t="s">
        <v>190</v>
      </c>
      <c r="C22" t="s">
        <v>52</v>
      </c>
      <c r="D22" t="s">
        <v>147</v>
      </c>
      <c r="E22" t="s">
        <v>75</v>
      </c>
      <c r="F22" s="171">
        <v>160659</v>
      </c>
      <c r="G22" s="171">
        <v>4725</v>
      </c>
      <c r="H22">
        <v>34</v>
      </c>
    </row>
    <row r="23" spans="1:8" hidden="1" x14ac:dyDescent="0.25">
      <c r="A23" t="s">
        <v>186</v>
      </c>
      <c r="B23" t="s">
        <v>190</v>
      </c>
      <c r="C23" t="s">
        <v>52</v>
      </c>
      <c r="D23" t="s">
        <v>148</v>
      </c>
      <c r="E23" t="s">
        <v>75</v>
      </c>
      <c r="F23" s="171">
        <v>6148</v>
      </c>
      <c r="G23" s="171">
        <v>6148</v>
      </c>
      <c r="H23">
        <v>1</v>
      </c>
    </row>
    <row r="24" spans="1:8" hidden="1" x14ac:dyDescent="0.25">
      <c r="A24" t="s">
        <v>186</v>
      </c>
      <c r="B24" t="s">
        <v>190</v>
      </c>
      <c r="C24" t="s">
        <v>52</v>
      </c>
      <c r="D24" t="s">
        <v>156</v>
      </c>
      <c r="E24" t="s">
        <v>75</v>
      </c>
      <c r="F24" s="171">
        <v>19471026</v>
      </c>
      <c r="G24" s="171">
        <v>22562</v>
      </c>
      <c r="H24">
        <v>863</v>
      </c>
    </row>
    <row r="25" spans="1:8" hidden="1" x14ac:dyDescent="0.25">
      <c r="A25" t="s">
        <v>186</v>
      </c>
      <c r="B25" t="s">
        <v>190</v>
      </c>
      <c r="C25" t="s">
        <v>52</v>
      </c>
      <c r="D25" t="s">
        <v>160</v>
      </c>
      <c r="E25" t="s">
        <v>75</v>
      </c>
      <c r="F25" s="171">
        <v>5001054</v>
      </c>
      <c r="G25" s="171">
        <v>12471</v>
      </c>
      <c r="H25">
        <v>401</v>
      </c>
    </row>
    <row r="26" spans="1:8" hidden="1" x14ac:dyDescent="0.25">
      <c r="A26" t="s">
        <v>186</v>
      </c>
      <c r="B26" t="s">
        <v>190</v>
      </c>
      <c r="C26" t="s">
        <v>52</v>
      </c>
      <c r="D26" t="s">
        <v>164</v>
      </c>
      <c r="E26" t="s">
        <v>75</v>
      </c>
      <c r="F26" s="171">
        <v>558330</v>
      </c>
      <c r="G26" s="171">
        <v>4396</v>
      </c>
      <c r="H26">
        <v>127</v>
      </c>
    </row>
    <row r="27" spans="1:8" hidden="1" x14ac:dyDescent="0.25">
      <c r="A27" t="s">
        <v>186</v>
      </c>
      <c r="B27" t="s">
        <v>190</v>
      </c>
      <c r="C27" t="s">
        <v>52</v>
      </c>
      <c r="D27" t="s">
        <v>167</v>
      </c>
      <c r="E27" t="s">
        <v>75</v>
      </c>
      <c r="F27" s="171">
        <v>1422601</v>
      </c>
      <c r="G27" s="171">
        <v>11202</v>
      </c>
      <c r="H27">
        <v>127</v>
      </c>
    </row>
    <row r="28" spans="1:8" hidden="1" x14ac:dyDescent="0.25">
      <c r="A28" t="s">
        <v>186</v>
      </c>
      <c r="B28" t="s">
        <v>190</v>
      </c>
      <c r="C28" t="s">
        <v>52</v>
      </c>
      <c r="D28" t="s">
        <v>168</v>
      </c>
      <c r="E28" t="s">
        <v>75</v>
      </c>
      <c r="F28" s="171">
        <v>319600</v>
      </c>
      <c r="G28" s="171">
        <v>4439</v>
      </c>
      <c r="H28">
        <v>72</v>
      </c>
    </row>
    <row r="29" spans="1:8" hidden="1" x14ac:dyDescent="0.25">
      <c r="A29" t="s">
        <v>186</v>
      </c>
      <c r="B29" t="s">
        <v>190</v>
      </c>
      <c r="C29" t="s">
        <v>52</v>
      </c>
      <c r="D29" t="s">
        <v>179</v>
      </c>
      <c r="E29" t="s">
        <v>75</v>
      </c>
      <c r="F29" s="171">
        <v>3269732</v>
      </c>
      <c r="G29" s="171">
        <v>17867</v>
      </c>
      <c r="H29">
        <v>183</v>
      </c>
    </row>
    <row r="30" spans="1:8" hidden="1" x14ac:dyDescent="0.25">
      <c r="A30" t="s">
        <v>186</v>
      </c>
      <c r="B30" t="s">
        <v>187</v>
      </c>
      <c r="C30" t="s">
        <v>52</v>
      </c>
      <c r="D30" t="s">
        <v>73</v>
      </c>
      <c r="E30" t="s">
        <v>75</v>
      </c>
      <c r="F30" s="171">
        <v>20798</v>
      </c>
      <c r="G30" s="171">
        <v>2971</v>
      </c>
      <c r="H30">
        <v>7</v>
      </c>
    </row>
    <row r="31" spans="1:8" hidden="1" x14ac:dyDescent="0.25">
      <c r="A31" t="s">
        <v>186</v>
      </c>
      <c r="B31" t="s">
        <v>187</v>
      </c>
      <c r="C31" t="s">
        <v>52</v>
      </c>
      <c r="D31" t="s">
        <v>80</v>
      </c>
      <c r="E31" t="s">
        <v>75</v>
      </c>
      <c r="F31" s="171">
        <v>6428</v>
      </c>
      <c r="G31" s="171">
        <v>6428</v>
      </c>
      <c r="H31">
        <v>1</v>
      </c>
    </row>
    <row r="32" spans="1:8" hidden="1" x14ac:dyDescent="0.25">
      <c r="A32" t="s">
        <v>186</v>
      </c>
      <c r="B32" t="s">
        <v>187</v>
      </c>
      <c r="C32" t="s">
        <v>52</v>
      </c>
      <c r="D32" t="s">
        <v>82</v>
      </c>
      <c r="E32" t="s">
        <v>75</v>
      </c>
      <c r="F32" s="171">
        <v>127731</v>
      </c>
      <c r="G32" s="171">
        <v>6723</v>
      </c>
      <c r="H32">
        <v>19</v>
      </c>
    </row>
    <row r="33" spans="1:8" hidden="1" x14ac:dyDescent="0.25">
      <c r="A33" t="s">
        <v>186</v>
      </c>
      <c r="B33" t="s">
        <v>187</v>
      </c>
      <c r="C33" t="s">
        <v>52</v>
      </c>
      <c r="D33" t="s">
        <v>84</v>
      </c>
      <c r="E33" t="s">
        <v>75</v>
      </c>
      <c r="F33" s="171">
        <v>36750</v>
      </c>
      <c r="G33" s="171">
        <v>7350</v>
      </c>
      <c r="H33">
        <v>5</v>
      </c>
    </row>
    <row r="34" spans="1:8" hidden="1" x14ac:dyDescent="0.25">
      <c r="A34" t="s">
        <v>186</v>
      </c>
      <c r="B34" t="s">
        <v>187</v>
      </c>
      <c r="C34" t="s">
        <v>52</v>
      </c>
      <c r="D34" t="s">
        <v>86</v>
      </c>
      <c r="E34" t="s">
        <v>75</v>
      </c>
      <c r="F34" s="171">
        <v>160261</v>
      </c>
      <c r="G34" s="171">
        <v>4714</v>
      </c>
      <c r="H34">
        <v>34</v>
      </c>
    </row>
    <row r="35" spans="1:8" hidden="1" x14ac:dyDescent="0.25">
      <c r="A35" t="s">
        <v>186</v>
      </c>
      <c r="B35" t="s">
        <v>187</v>
      </c>
      <c r="C35" t="s">
        <v>52</v>
      </c>
      <c r="D35" t="s">
        <v>89</v>
      </c>
      <c r="E35" t="s">
        <v>75</v>
      </c>
      <c r="F35" s="171">
        <v>140995</v>
      </c>
      <c r="G35" s="171">
        <v>2660</v>
      </c>
      <c r="H35">
        <v>53</v>
      </c>
    </row>
    <row r="36" spans="1:8" hidden="1" x14ac:dyDescent="0.25">
      <c r="A36" t="s">
        <v>186</v>
      </c>
      <c r="B36" t="s">
        <v>187</v>
      </c>
      <c r="C36" t="s">
        <v>52</v>
      </c>
      <c r="D36" t="s">
        <v>91</v>
      </c>
      <c r="E36" t="s">
        <v>75</v>
      </c>
      <c r="F36" s="171">
        <v>1534852</v>
      </c>
      <c r="G36" s="171">
        <v>7008</v>
      </c>
      <c r="H36">
        <v>219</v>
      </c>
    </row>
    <row r="37" spans="1:8" hidden="1" x14ac:dyDescent="0.25">
      <c r="A37" t="s">
        <v>186</v>
      </c>
      <c r="B37" t="s">
        <v>187</v>
      </c>
      <c r="C37" t="s">
        <v>52</v>
      </c>
      <c r="D37" t="s">
        <v>100</v>
      </c>
      <c r="E37" t="s">
        <v>75</v>
      </c>
      <c r="F37" s="171">
        <v>1727439</v>
      </c>
      <c r="G37" s="171">
        <v>8345</v>
      </c>
      <c r="H37">
        <v>207</v>
      </c>
    </row>
    <row r="38" spans="1:8" hidden="1" x14ac:dyDescent="0.25">
      <c r="A38" t="s">
        <v>186</v>
      </c>
      <c r="B38" t="s">
        <v>187</v>
      </c>
      <c r="C38" t="s">
        <v>52</v>
      </c>
      <c r="D38" t="s">
        <v>101</v>
      </c>
      <c r="E38" t="s">
        <v>75</v>
      </c>
      <c r="F38" s="171">
        <v>103062</v>
      </c>
      <c r="G38" s="171">
        <v>4481</v>
      </c>
      <c r="H38">
        <v>23</v>
      </c>
    </row>
    <row r="39" spans="1:8" hidden="1" x14ac:dyDescent="0.25">
      <c r="A39" t="s">
        <v>186</v>
      </c>
      <c r="B39" t="s">
        <v>187</v>
      </c>
      <c r="C39" t="s">
        <v>52</v>
      </c>
      <c r="D39" t="s">
        <v>102</v>
      </c>
      <c r="E39" t="s">
        <v>75</v>
      </c>
      <c r="F39" s="171">
        <v>6192390</v>
      </c>
      <c r="G39" s="171">
        <v>7243</v>
      </c>
      <c r="H39">
        <v>855</v>
      </c>
    </row>
    <row r="40" spans="1:8" hidden="1" x14ac:dyDescent="0.25">
      <c r="A40" t="s">
        <v>186</v>
      </c>
      <c r="B40" t="s">
        <v>187</v>
      </c>
      <c r="C40" t="s">
        <v>52</v>
      </c>
      <c r="D40" t="s">
        <v>107</v>
      </c>
      <c r="E40" t="s">
        <v>75</v>
      </c>
      <c r="F40" s="171">
        <v>1040435</v>
      </c>
      <c r="G40" s="171">
        <v>8893</v>
      </c>
      <c r="H40">
        <v>117</v>
      </c>
    </row>
    <row r="41" spans="1:8" hidden="1" x14ac:dyDescent="0.25">
      <c r="A41" t="s">
        <v>186</v>
      </c>
      <c r="B41" t="s">
        <v>187</v>
      </c>
      <c r="C41" t="s">
        <v>52</v>
      </c>
      <c r="D41" t="s">
        <v>115</v>
      </c>
      <c r="E41" t="s">
        <v>75</v>
      </c>
      <c r="F41" s="171">
        <v>420135</v>
      </c>
      <c r="G41" s="171">
        <v>12357</v>
      </c>
      <c r="H41">
        <v>34</v>
      </c>
    </row>
    <row r="42" spans="1:8" hidden="1" x14ac:dyDescent="0.25">
      <c r="A42" t="s">
        <v>186</v>
      </c>
      <c r="B42" t="s">
        <v>187</v>
      </c>
      <c r="C42" t="s">
        <v>52</v>
      </c>
      <c r="D42" t="s">
        <v>119</v>
      </c>
      <c r="E42" t="s">
        <v>75</v>
      </c>
      <c r="F42" s="171">
        <v>4300659</v>
      </c>
      <c r="G42" s="171">
        <v>8941</v>
      </c>
      <c r="H42">
        <v>481</v>
      </c>
    </row>
    <row r="43" spans="1:8" hidden="1" x14ac:dyDescent="0.25">
      <c r="A43" t="s">
        <v>186</v>
      </c>
      <c r="B43" t="s">
        <v>187</v>
      </c>
      <c r="C43" t="s">
        <v>52</v>
      </c>
      <c r="D43" t="s">
        <v>121</v>
      </c>
      <c r="E43" t="s">
        <v>75</v>
      </c>
      <c r="F43" s="171">
        <v>5249306</v>
      </c>
      <c r="G43" s="171">
        <v>10114</v>
      </c>
      <c r="H43">
        <v>519</v>
      </c>
    </row>
    <row r="44" spans="1:8" hidden="1" x14ac:dyDescent="0.25">
      <c r="A44" t="s">
        <v>186</v>
      </c>
      <c r="B44" t="s">
        <v>187</v>
      </c>
      <c r="C44" t="s">
        <v>52</v>
      </c>
      <c r="D44" t="s">
        <v>125</v>
      </c>
      <c r="E44" t="s">
        <v>75</v>
      </c>
      <c r="F44" s="171">
        <v>10735790</v>
      </c>
      <c r="G44" s="171">
        <v>24289</v>
      </c>
      <c r="H44">
        <v>442</v>
      </c>
    </row>
    <row r="45" spans="1:8" hidden="1" x14ac:dyDescent="0.25">
      <c r="A45" t="s">
        <v>186</v>
      </c>
      <c r="B45" t="s">
        <v>187</v>
      </c>
      <c r="C45" t="s">
        <v>52</v>
      </c>
      <c r="D45" t="s">
        <v>128</v>
      </c>
      <c r="E45" t="s">
        <v>75</v>
      </c>
      <c r="F45" s="171">
        <v>111783</v>
      </c>
      <c r="G45" s="171">
        <v>2795</v>
      </c>
      <c r="H45">
        <v>40</v>
      </c>
    </row>
    <row r="46" spans="1:8" hidden="1" x14ac:dyDescent="0.25">
      <c r="A46" t="s">
        <v>186</v>
      </c>
      <c r="B46" t="s">
        <v>187</v>
      </c>
      <c r="C46" t="s">
        <v>52</v>
      </c>
      <c r="D46" t="s">
        <v>130</v>
      </c>
      <c r="E46" t="s">
        <v>75</v>
      </c>
      <c r="F46" s="171">
        <v>20105</v>
      </c>
      <c r="G46" s="171">
        <v>5026</v>
      </c>
      <c r="H46">
        <v>4</v>
      </c>
    </row>
    <row r="47" spans="1:8" hidden="1" x14ac:dyDescent="0.25">
      <c r="A47" t="s">
        <v>186</v>
      </c>
      <c r="B47" t="s">
        <v>187</v>
      </c>
      <c r="C47" t="s">
        <v>52</v>
      </c>
      <c r="D47" t="s">
        <v>133</v>
      </c>
      <c r="E47" t="s">
        <v>75</v>
      </c>
      <c r="F47" s="171">
        <v>1057363</v>
      </c>
      <c r="G47" s="171">
        <v>8197</v>
      </c>
      <c r="H47">
        <v>129</v>
      </c>
    </row>
    <row r="48" spans="1:8" hidden="1" x14ac:dyDescent="0.25">
      <c r="A48" t="s">
        <v>186</v>
      </c>
      <c r="B48" t="s">
        <v>187</v>
      </c>
      <c r="C48" t="s">
        <v>52</v>
      </c>
      <c r="D48" t="s">
        <v>138</v>
      </c>
      <c r="E48" t="s">
        <v>75</v>
      </c>
      <c r="F48" s="171">
        <v>2158996</v>
      </c>
      <c r="G48" s="171">
        <v>10089</v>
      </c>
      <c r="H48">
        <v>214</v>
      </c>
    </row>
    <row r="49" spans="1:8" hidden="1" x14ac:dyDescent="0.25">
      <c r="A49" t="s">
        <v>186</v>
      </c>
      <c r="B49" t="s">
        <v>187</v>
      </c>
      <c r="C49" t="s">
        <v>52</v>
      </c>
      <c r="D49" t="s">
        <v>140</v>
      </c>
      <c r="E49" t="s">
        <v>75</v>
      </c>
      <c r="F49" s="171">
        <v>91317</v>
      </c>
      <c r="G49" s="171">
        <v>7024</v>
      </c>
      <c r="H49">
        <v>13</v>
      </c>
    </row>
    <row r="50" spans="1:8" hidden="1" x14ac:dyDescent="0.25">
      <c r="A50" t="s">
        <v>186</v>
      </c>
      <c r="B50" t="s">
        <v>187</v>
      </c>
      <c r="C50" t="s">
        <v>52</v>
      </c>
      <c r="D50" t="s">
        <v>147</v>
      </c>
      <c r="E50" t="s">
        <v>75</v>
      </c>
      <c r="F50" s="171">
        <v>237640</v>
      </c>
      <c r="G50" s="171">
        <v>8194</v>
      </c>
      <c r="H50">
        <v>29</v>
      </c>
    </row>
    <row r="51" spans="1:8" hidden="1" x14ac:dyDescent="0.25">
      <c r="A51" t="s">
        <v>186</v>
      </c>
      <c r="B51" t="s">
        <v>187</v>
      </c>
      <c r="C51" t="s">
        <v>52</v>
      </c>
      <c r="D51" t="s">
        <v>156</v>
      </c>
      <c r="E51" t="s">
        <v>75</v>
      </c>
      <c r="F51" s="171">
        <v>20402444</v>
      </c>
      <c r="G51" s="171">
        <v>22644</v>
      </c>
      <c r="H51">
        <v>901</v>
      </c>
    </row>
    <row r="52" spans="1:8" hidden="1" x14ac:dyDescent="0.25">
      <c r="A52" t="s">
        <v>186</v>
      </c>
      <c r="B52" t="s">
        <v>187</v>
      </c>
      <c r="C52" t="s">
        <v>52</v>
      </c>
      <c r="D52" t="s">
        <v>160</v>
      </c>
      <c r="E52" t="s">
        <v>75</v>
      </c>
      <c r="F52" s="171">
        <v>3908422</v>
      </c>
      <c r="G52" s="171">
        <v>9395</v>
      </c>
      <c r="H52">
        <v>416</v>
      </c>
    </row>
    <row r="53" spans="1:8" hidden="1" x14ac:dyDescent="0.25">
      <c r="A53" t="s">
        <v>186</v>
      </c>
      <c r="B53" t="s">
        <v>187</v>
      </c>
      <c r="C53" t="s">
        <v>52</v>
      </c>
      <c r="D53" t="s">
        <v>164</v>
      </c>
      <c r="E53" t="s">
        <v>75</v>
      </c>
      <c r="F53" s="171">
        <v>715169</v>
      </c>
      <c r="G53" s="171">
        <v>4555</v>
      </c>
      <c r="H53">
        <v>157</v>
      </c>
    </row>
    <row r="54" spans="1:8" hidden="1" x14ac:dyDescent="0.25">
      <c r="A54" t="s">
        <v>186</v>
      </c>
      <c r="B54" t="s">
        <v>187</v>
      </c>
      <c r="C54" t="s">
        <v>52</v>
      </c>
      <c r="D54" t="s">
        <v>167</v>
      </c>
      <c r="E54" t="s">
        <v>75</v>
      </c>
      <c r="F54" s="171">
        <v>1172456</v>
      </c>
      <c r="G54" s="171">
        <v>8086</v>
      </c>
      <c r="H54">
        <v>145</v>
      </c>
    </row>
    <row r="55" spans="1:8" hidden="1" x14ac:dyDescent="0.25">
      <c r="A55" t="s">
        <v>186</v>
      </c>
      <c r="B55" t="s">
        <v>187</v>
      </c>
      <c r="C55" t="s">
        <v>52</v>
      </c>
      <c r="D55" t="s">
        <v>168</v>
      </c>
      <c r="E55" t="s">
        <v>75</v>
      </c>
      <c r="F55" s="171">
        <v>296188</v>
      </c>
      <c r="G55" s="171">
        <v>4356</v>
      </c>
      <c r="H55">
        <v>68</v>
      </c>
    </row>
    <row r="56" spans="1:8" hidden="1" x14ac:dyDescent="0.25">
      <c r="A56" t="s">
        <v>186</v>
      </c>
      <c r="B56" t="s">
        <v>187</v>
      </c>
      <c r="C56" t="s">
        <v>52</v>
      </c>
      <c r="D56" t="s">
        <v>179</v>
      </c>
      <c r="E56" t="s">
        <v>75</v>
      </c>
      <c r="F56" s="171">
        <v>3103273</v>
      </c>
      <c r="G56" s="171">
        <v>18042</v>
      </c>
      <c r="H56">
        <v>172</v>
      </c>
    </row>
    <row r="57" spans="1:8" hidden="1" x14ac:dyDescent="0.25">
      <c r="A57" t="s">
        <v>186</v>
      </c>
      <c r="B57" t="s">
        <v>188</v>
      </c>
      <c r="C57" t="s">
        <v>52</v>
      </c>
      <c r="D57" t="s">
        <v>73</v>
      </c>
      <c r="E57" t="s">
        <v>75</v>
      </c>
      <c r="F57" s="171">
        <v>33879</v>
      </c>
      <c r="G57" s="171">
        <v>6776</v>
      </c>
      <c r="H57">
        <v>5</v>
      </c>
    </row>
    <row r="58" spans="1:8" hidden="1" x14ac:dyDescent="0.25">
      <c r="A58" t="s">
        <v>186</v>
      </c>
      <c r="B58" t="s">
        <v>188</v>
      </c>
      <c r="C58" t="s">
        <v>52</v>
      </c>
      <c r="D58" t="s">
        <v>80</v>
      </c>
      <c r="E58" t="s">
        <v>75</v>
      </c>
      <c r="F58" s="171">
        <v>6807</v>
      </c>
      <c r="G58" s="171">
        <v>6807</v>
      </c>
      <c r="H58">
        <v>1</v>
      </c>
    </row>
    <row r="59" spans="1:8" hidden="1" x14ac:dyDescent="0.25">
      <c r="A59" t="s">
        <v>186</v>
      </c>
      <c r="B59" t="s">
        <v>188</v>
      </c>
      <c r="C59" t="s">
        <v>52</v>
      </c>
      <c r="D59" t="s">
        <v>82</v>
      </c>
      <c r="E59" t="s">
        <v>75</v>
      </c>
      <c r="F59" s="171">
        <v>80105</v>
      </c>
      <c r="G59" s="171">
        <v>5340</v>
      </c>
      <c r="H59">
        <v>15</v>
      </c>
    </row>
    <row r="60" spans="1:8" hidden="1" x14ac:dyDescent="0.25">
      <c r="A60" t="s">
        <v>186</v>
      </c>
      <c r="B60" t="s">
        <v>188</v>
      </c>
      <c r="C60" t="s">
        <v>52</v>
      </c>
      <c r="D60" t="s">
        <v>84</v>
      </c>
      <c r="E60" t="s">
        <v>75</v>
      </c>
      <c r="F60" s="171">
        <v>114526</v>
      </c>
      <c r="G60" s="171">
        <v>19088</v>
      </c>
      <c r="H60">
        <v>6</v>
      </c>
    </row>
    <row r="61" spans="1:8" hidden="1" x14ac:dyDescent="0.25">
      <c r="A61" t="s">
        <v>186</v>
      </c>
      <c r="B61" t="s">
        <v>188</v>
      </c>
      <c r="C61" t="s">
        <v>52</v>
      </c>
      <c r="D61" t="s">
        <v>86</v>
      </c>
      <c r="E61" t="s">
        <v>75</v>
      </c>
      <c r="F61" s="171">
        <v>265600</v>
      </c>
      <c r="G61" s="171">
        <v>6989</v>
      </c>
      <c r="H61">
        <v>38</v>
      </c>
    </row>
    <row r="62" spans="1:8" hidden="1" x14ac:dyDescent="0.25">
      <c r="A62" t="s">
        <v>186</v>
      </c>
      <c r="B62" t="s">
        <v>188</v>
      </c>
      <c r="C62" t="s">
        <v>52</v>
      </c>
      <c r="D62" t="s">
        <v>89</v>
      </c>
      <c r="E62" t="s">
        <v>75</v>
      </c>
      <c r="F62" s="171">
        <v>183362</v>
      </c>
      <c r="G62" s="171">
        <v>2865</v>
      </c>
      <c r="H62">
        <v>64</v>
      </c>
    </row>
    <row r="63" spans="1:8" hidden="1" x14ac:dyDescent="0.25">
      <c r="A63" t="s">
        <v>186</v>
      </c>
      <c r="B63" t="s">
        <v>188</v>
      </c>
      <c r="C63" t="s">
        <v>52</v>
      </c>
      <c r="D63" t="s">
        <v>91</v>
      </c>
      <c r="E63" t="s">
        <v>75</v>
      </c>
      <c r="F63" s="171">
        <v>1593671</v>
      </c>
      <c r="G63" s="171">
        <v>6696</v>
      </c>
      <c r="H63">
        <v>238</v>
      </c>
    </row>
    <row r="64" spans="1:8" hidden="1" x14ac:dyDescent="0.25">
      <c r="A64" t="s">
        <v>186</v>
      </c>
      <c r="B64" t="s">
        <v>188</v>
      </c>
      <c r="C64" t="s">
        <v>52</v>
      </c>
      <c r="D64" t="s">
        <v>100</v>
      </c>
      <c r="E64" t="s">
        <v>75</v>
      </c>
      <c r="F64" s="171">
        <v>1707882</v>
      </c>
      <c r="G64" s="171">
        <v>7728</v>
      </c>
      <c r="H64">
        <v>221</v>
      </c>
    </row>
    <row r="65" spans="1:8" hidden="1" x14ac:dyDescent="0.25">
      <c r="A65" t="s">
        <v>186</v>
      </c>
      <c r="B65" t="s">
        <v>188</v>
      </c>
      <c r="C65" t="s">
        <v>52</v>
      </c>
      <c r="D65" t="s">
        <v>101</v>
      </c>
      <c r="E65" t="s">
        <v>75</v>
      </c>
      <c r="F65" s="171">
        <v>97625</v>
      </c>
      <c r="G65" s="171">
        <v>3254</v>
      </c>
      <c r="H65">
        <v>30</v>
      </c>
    </row>
    <row r="66" spans="1:8" hidden="1" x14ac:dyDescent="0.25">
      <c r="A66" t="s">
        <v>186</v>
      </c>
      <c r="B66" t="s">
        <v>188</v>
      </c>
      <c r="C66" t="s">
        <v>52</v>
      </c>
      <c r="D66" t="s">
        <v>102</v>
      </c>
      <c r="E66" t="s">
        <v>75</v>
      </c>
      <c r="F66" s="171">
        <v>6133357</v>
      </c>
      <c r="G66" s="171">
        <v>6553</v>
      </c>
      <c r="H66">
        <v>936</v>
      </c>
    </row>
    <row r="67" spans="1:8" hidden="1" x14ac:dyDescent="0.25">
      <c r="A67" t="s">
        <v>186</v>
      </c>
      <c r="B67" t="s">
        <v>188</v>
      </c>
      <c r="C67" t="s">
        <v>52</v>
      </c>
      <c r="D67" t="s">
        <v>107</v>
      </c>
      <c r="E67" t="s">
        <v>75</v>
      </c>
      <c r="F67" s="171">
        <v>1397438</v>
      </c>
      <c r="G67" s="171">
        <v>12047</v>
      </c>
      <c r="H67">
        <v>116</v>
      </c>
    </row>
    <row r="68" spans="1:8" hidden="1" x14ac:dyDescent="0.25">
      <c r="A68" t="s">
        <v>186</v>
      </c>
      <c r="B68" t="s">
        <v>188</v>
      </c>
      <c r="C68" t="s">
        <v>52</v>
      </c>
      <c r="D68" t="s">
        <v>115</v>
      </c>
      <c r="E68" t="s">
        <v>75</v>
      </c>
      <c r="F68" s="171">
        <v>454099</v>
      </c>
      <c r="G68" s="171">
        <v>12614</v>
      </c>
      <c r="H68">
        <v>36</v>
      </c>
    </row>
    <row r="69" spans="1:8" hidden="1" x14ac:dyDescent="0.25">
      <c r="A69" t="s">
        <v>186</v>
      </c>
      <c r="B69" t="s">
        <v>188</v>
      </c>
      <c r="C69" t="s">
        <v>52</v>
      </c>
      <c r="D69" t="s">
        <v>119</v>
      </c>
      <c r="E69" t="s">
        <v>75</v>
      </c>
      <c r="F69" s="171">
        <v>4621972</v>
      </c>
      <c r="G69" s="171">
        <v>8737</v>
      </c>
      <c r="H69">
        <v>529</v>
      </c>
    </row>
    <row r="70" spans="1:8" hidden="1" x14ac:dyDescent="0.25">
      <c r="A70" t="s">
        <v>186</v>
      </c>
      <c r="B70" t="s">
        <v>188</v>
      </c>
      <c r="C70" t="s">
        <v>52</v>
      </c>
      <c r="D70" t="s">
        <v>121</v>
      </c>
      <c r="E70" t="s">
        <v>75</v>
      </c>
      <c r="F70" s="171">
        <v>5743679</v>
      </c>
      <c r="G70" s="171">
        <v>11240</v>
      </c>
      <c r="H70">
        <v>511</v>
      </c>
    </row>
    <row r="71" spans="1:8" hidden="1" x14ac:dyDescent="0.25">
      <c r="A71" t="s">
        <v>186</v>
      </c>
      <c r="B71" t="s">
        <v>188</v>
      </c>
      <c r="C71" t="s">
        <v>52</v>
      </c>
      <c r="D71" t="s">
        <v>125</v>
      </c>
      <c r="E71" t="s">
        <v>75</v>
      </c>
      <c r="F71" s="171">
        <v>12470270</v>
      </c>
      <c r="G71" s="171">
        <v>29204</v>
      </c>
      <c r="H71">
        <v>427</v>
      </c>
    </row>
    <row r="72" spans="1:8" hidden="1" x14ac:dyDescent="0.25">
      <c r="A72" t="s">
        <v>186</v>
      </c>
      <c r="B72" t="s">
        <v>188</v>
      </c>
      <c r="C72" t="s">
        <v>52</v>
      </c>
      <c r="D72" t="s">
        <v>128</v>
      </c>
      <c r="E72" t="s">
        <v>75</v>
      </c>
      <c r="F72" s="171">
        <v>55882</v>
      </c>
      <c r="G72" s="171">
        <v>1189</v>
      </c>
      <c r="H72">
        <v>47</v>
      </c>
    </row>
    <row r="73" spans="1:8" hidden="1" x14ac:dyDescent="0.25">
      <c r="A73" t="s">
        <v>186</v>
      </c>
      <c r="B73" t="s">
        <v>188</v>
      </c>
      <c r="C73" t="s">
        <v>52</v>
      </c>
      <c r="D73" t="s">
        <v>130</v>
      </c>
      <c r="E73" t="s">
        <v>75</v>
      </c>
      <c r="F73" s="171">
        <v>75889</v>
      </c>
      <c r="G73" s="171">
        <v>9486</v>
      </c>
      <c r="H73">
        <v>8</v>
      </c>
    </row>
    <row r="74" spans="1:8" hidden="1" x14ac:dyDescent="0.25">
      <c r="A74" t="s">
        <v>186</v>
      </c>
      <c r="B74" t="s">
        <v>188</v>
      </c>
      <c r="C74" t="s">
        <v>52</v>
      </c>
      <c r="D74" t="s">
        <v>133</v>
      </c>
      <c r="E74" t="s">
        <v>75</v>
      </c>
      <c r="F74" s="171">
        <v>1345165</v>
      </c>
      <c r="G74" s="171">
        <v>9341</v>
      </c>
      <c r="H74">
        <v>144</v>
      </c>
    </row>
    <row r="75" spans="1:8" hidden="1" x14ac:dyDescent="0.25">
      <c r="A75" t="s">
        <v>186</v>
      </c>
      <c r="B75" t="s">
        <v>188</v>
      </c>
      <c r="C75" t="s">
        <v>52</v>
      </c>
      <c r="D75" t="s">
        <v>138</v>
      </c>
      <c r="E75" t="s">
        <v>75</v>
      </c>
      <c r="F75" s="171">
        <v>3359415</v>
      </c>
      <c r="G75" s="171">
        <v>15201</v>
      </c>
      <c r="H75">
        <v>221</v>
      </c>
    </row>
    <row r="76" spans="1:8" hidden="1" x14ac:dyDescent="0.25">
      <c r="A76" t="s">
        <v>186</v>
      </c>
      <c r="B76" t="s">
        <v>188</v>
      </c>
      <c r="C76" t="s">
        <v>52</v>
      </c>
      <c r="D76" t="s">
        <v>140</v>
      </c>
      <c r="E76" t="s">
        <v>75</v>
      </c>
      <c r="F76" s="171">
        <v>158641</v>
      </c>
      <c r="G76" s="171">
        <v>15864</v>
      </c>
      <c r="H76">
        <v>10</v>
      </c>
    </row>
    <row r="77" spans="1:8" hidden="1" x14ac:dyDescent="0.25">
      <c r="A77" t="s">
        <v>186</v>
      </c>
      <c r="B77" t="s">
        <v>188</v>
      </c>
      <c r="C77" t="s">
        <v>52</v>
      </c>
      <c r="D77" t="s">
        <v>147</v>
      </c>
      <c r="E77" t="s">
        <v>75</v>
      </c>
      <c r="F77" s="171">
        <v>146176</v>
      </c>
      <c r="G77" s="171">
        <v>4873</v>
      </c>
      <c r="H77">
        <v>30</v>
      </c>
    </row>
    <row r="78" spans="1:8" hidden="1" x14ac:dyDescent="0.25">
      <c r="A78" t="s">
        <v>186</v>
      </c>
      <c r="B78" t="s">
        <v>188</v>
      </c>
      <c r="C78" t="s">
        <v>52</v>
      </c>
      <c r="D78" t="s">
        <v>156</v>
      </c>
      <c r="E78" t="s">
        <v>75</v>
      </c>
      <c r="F78" s="171">
        <v>21880571</v>
      </c>
      <c r="G78" s="171">
        <v>25237</v>
      </c>
      <c r="H78">
        <v>867</v>
      </c>
    </row>
    <row r="79" spans="1:8" hidden="1" x14ac:dyDescent="0.25">
      <c r="A79" t="s">
        <v>186</v>
      </c>
      <c r="B79" t="s">
        <v>188</v>
      </c>
      <c r="C79" t="s">
        <v>52</v>
      </c>
      <c r="D79" t="s">
        <v>160</v>
      </c>
      <c r="E79" t="s">
        <v>75</v>
      </c>
      <c r="F79" s="171">
        <v>5050165</v>
      </c>
      <c r="G79" s="171">
        <v>11855</v>
      </c>
      <c r="H79">
        <v>426</v>
      </c>
    </row>
    <row r="80" spans="1:8" hidden="1" x14ac:dyDescent="0.25">
      <c r="A80" t="s">
        <v>186</v>
      </c>
      <c r="B80" t="s">
        <v>188</v>
      </c>
      <c r="C80" t="s">
        <v>52</v>
      </c>
      <c r="D80" t="s">
        <v>164</v>
      </c>
      <c r="E80" t="s">
        <v>75</v>
      </c>
      <c r="F80" s="171">
        <v>784672</v>
      </c>
      <c r="G80" s="171">
        <v>4814</v>
      </c>
      <c r="H80">
        <v>163</v>
      </c>
    </row>
    <row r="81" spans="1:8" hidden="1" x14ac:dyDescent="0.25">
      <c r="A81" t="s">
        <v>186</v>
      </c>
      <c r="B81" t="s">
        <v>188</v>
      </c>
      <c r="C81" t="s">
        <v>52</v>
      </c>
      <c r="D81" t="s">
        <v>167</v>
      </c>
      <c r="E81" t="s">
        <v>75</v>
      </c>
      <c r="F81" s="171">
        <v>1184369</v>
      </c>
      <c r="G81" s="171">
        <v>7844</v>
      </c>
      <c r="H81">
        <v>151</v>
      </c>
    </row>
    <row r="82" spans="1:8" hidden="1" x14ac:dyDescent="0.25">
      <c r="A82" t="s">
        <v>186</v>
      </c>
      <c r="B82" t="s">
        <v>188</v>
      </c>
      <c r="C82" t="s">
        <v>52</v>
      </c>
      <c r="D82" t="s">
        <v>168</v>
      </c>
      <c r="E82" t="s">
        <v>75</v>
      </c>
      <c r="F82" s="171">
        <v>436205</v>
      </c>
      <c r="G82" s="171">
        <v>5895</v>
      </c>
      <c r="H82">
        <v>74</v>
      </c>
    </row>
    <row r="83" spans="1:8" hidden="1" x14ac:dyDescent="0.25">
      <c r="A83" t="s">
        <v>186</v>
      </c>
      <c r="B83" t="s">
        <v>188</v>
      </c>
      <c r="C83" t="s">
        <v>52</v>
      </c>
      <c r="D83" t="s">
        <v>179</v>
      </c>
      <c r="E83" t="s">
        <v>75</v>
      </c>
      <c r="F83" s="171">
        <v>4310018</v>
      </c>
      <c r="G83" s="171">
        <v>22566</v>
      </c>
      <c r="H83">
        <v>191</v>
      </c>
    </row>
    <row r="84" spans="1:8" hidden="1" x14ac:dyDescent="0.25">
      <c r="A84" t="s">
        <v>186</v>
      </c>
      <c r="B84" t="s">
        <v>189</v>
      </c>
      <c r="C84" t="s">
        <v>52</v>
      </c>
      <c r="D84" t="s">
        <v>73</v>
      </c>
      <c r="E84" t="s">
        <v>75</v>
      </c>
      <c r="F84" s="171">
        <v>6943</v>
      </c>
      <c r="G84" s="171">
        <v>2314</v>
      </c>
      <c r="H84">
        <v>3</v>
      </c>
    </row>
    <row r="85" spans="1:8" hidden="1" x14ac:dyDescent="0.25">
      <c r="A85" t="s">
        <v>186</v>
      </c>
      <c r="B85" t="s">
        <v>189</v>
      </c>
      <c r="C85" t="s">
        <v>52</v>
      </c>
      <c r="D85" t="s">
        <v>80</v>
      </c>
      <c r="E85" t="s">
        <v>75</v>
      </c>
      <c r="F85" s="171">
        <v>1376</v>
      </c>
      <c r="G85" s="171">
        <v>1376</v>
      </c>
      <c r="H85">
        <v>1</v>
      </c>
    </row>
    <row r="86" spans="1:8" hidden="1" x14ac:dyDescent="0.25">
      <c r="A86" t="s">
        <v>186</v>
      </c>
      <c r="B86" t="s">
        <v>189</v>
      </c>
      <c r="C86" t="s">
        <v>52</v>
      </c>
      <c r="D86" t="s">
        <v>82</v>
      </c>
      <c r="E86" t="s">
        <v>75</v>
      </c>
      <c r="F86" s="171">
        <v>60732</v>
      </c>
      <c r="G86" s="171">
        <v>4672</v>
      </c>
      <c r="H86">
        <v>13</v>
      </c>
    </row>
    <row r="87" spans="1:8" hidden="1" x14ac:dyDescent="0.25">
      <c r="A87" t="s">
        <v>186</v>
      </c>
      <c r="B87" t="s">
        <v>189</v>
      </c>
      <c r="C87" t="s">
        <v>52</v>
      </c>
      <c r="D87" t="s">
        <v>84</v>
      </c>
      <c r="E87" t="s">
        <v>75</v>
      </c>
      <c r="F87" s="171">
        <v>67077</v>
      </c>
      <c r="G87" s="171">
        <v>5590</v>
      </c>
      <c r="H87">
        <v>12</v>
      </c>
    </row>
    <row r="88" spans="1:8" hidden="1" x14ac:dyDescent="0.25">
      <c r="A88" t="s">
        <v>186</v>
      </c>
      <c r="B88" t="s">
        <v>189</v>
      </c>
      <c r="C88" t="s">
        <v>52</v>
      </c>
      <c r="D88" t="s">
        <v>86</v>
      </c>
      <c r="E88" t="s">
        <v>75</v>
      </c>
      <c r="F88" s="171">
        <v>352285</v>
      </c>
      <c r="G88" s="171">
        <v>8807</v>
      </c>
      <c r="H88">
        <v>40</v>
      </c>
    </row>
    <row r="89" spans="1:8" hidden="1" x14ac:dyDescent="0.25">
      <c r="A89" t="s">
        <v>186</v>
      </c>
      <c r="B89" t="s">
        <v>189</v>
      </c>
      <c r="C89" t="s">
        <v>52</v>
      </c>
      <c r="D89" t="s">
        <v>89</v>
      </c>
      <c r="E89" t="s">
        <v>75</v>
      </c>
      <c r="F89" s="171">
        <v>233206</v>
      </c>
      <c r="G89" s="171">
        <v>3285</v>
      </c>
      <c r="H89">
        <v>71</v>
      </c>
    </row>
    <row r="90" spans="1:8" hidden="1" x14ac:dyDescent="0.25">
      <c r="A90" t="s">
        <v>186</v>
      </c>
      <c r="B90" t="s">
        <v>189</v>
      </c>
      <c r="C90" t="s">
        <v>52</v>
      </c>
      <c r="D90" t="s">
        <v>91</v>
      </c>
      <c r="E90" t="s">
        <v>75</v>
      </c>
      <c r="F90" s="171">
        <v>1936754</v>
      </c>
      <c r="G90" s="171">
        <v>7449</v>
      </c>
      <c r="H90">
        <v>260</v>
      </c>
    </row>
    <row r="91" spans="1:8" hidden="1" x14ac:dyDescent="0.25">
      <c r="A91" t="s">
        <v>186</v>
      </c>
      <c r="B91" t="s">
        <v>189</v>
      </c>
      <c r="C91" t="s">
        <v>52</v>
      </c>
      <c r="D91" t="s">
        <v>100</v>
      </c>
      <c r="E91" t="s">
        <v>75</v>
      </c>
      <c r="F91" s="171">
        <v>1838226</v>
      </c>
      <c r="G91" s="171">
        <v>8471</v>
      </c>
      <c r="H91">
        <v>217</v>
      </c>
    </row>
    <row r="92" spans="1:8" hidden="1" x14ac:dyDescent="0.25">
      <c r="A92" t="s">
        <v>186</v>
      </c>
      <c r="B92" t="s">
        <v>189</v>
      </c>
      <c r="C92" t="s">
        <v>52</v>
      </c>
      <c r="D92" t="s">
        <v>101</v>
      </c>
      <c r="E92" t="s">
        <v>75</v>
      </c>
      <c r="F92" s="171">
        <v>143080</v>
      </c>
      <c r="G92" s="171">
        <v>4208</v>
      </c>
      <c r="H92">
        <v>34</v>
      </c>
    </row>
    <row r="93" spans="1:8" hidden="1" x14ac:dyDescent="0.25">
      <c r="A93" t="s">
        <v>186</v>
      </c>
      <c r="B93" t="s">
        <v>189</v>
      </c>
      <c r="C93" t="s">
        <v>52</v>
      </c>
      <c r="D93" t="s">
        <v>102</v>
      </c>
      <c r="E93" t="s">
        <v>75</v>
      </c>
      <c r="F93" s="171">
        <v>7017645</v>
      </c>
      <c r="G93" s="171">
        <v>7025</v>
      </c>
      <c r="H93">
        <v>999</v>
      </c>
    </row>
    <row r="94" spans="1:8" hidden="1" x14ac:dyDescent="0.25">
      <c r="A94" t="s">
        <v>186</v>
      </c>
      <c r="B94" t="s">
        <v>189</v>
      </c>
      <c r="C94" t="s">
        <v>52</v>
      </c>
      <c r="D94" t="s">
        <v>107</v>
      </c>
      <c r="E94" t="s">
        <v>75</v>
      </c>
      <c r="F94" s="171">
        <v>1215474</v>
      </c>
      <c r="G94" s="171">
        <v>9496</v>
      </c>
      <c r="H94">
        <v>128</v>
      </c>
    </row>
    <row r="95" spans="1:8" hidden="1" x14ac:dyDescent="0.25">
      <c r="A95" t="s">
        <v>186</v>
      </c>
      <c r="B95" t="s">
        <v>189</v>
      </c>
      <c r="C95" t="s">
        <v>52</v>
      </c>
      <c r="D95" t="s">
        <v>115</v>
      </c>
      <c r="E95" t="s">
        <v>75</v>
      </c>
      <c r="F95" s="171">
        <v>319667</v>
      </c>
      <c r="G95" s="171">
        <v>10312</v>
      </c>
      <c r="H95">
        <v>31</v>
      </c>
    </row>
    <row r="96" spans="1:8" hidden="1" x14ac:dyDescent="0.25">
      <c r="A96" t="s">
        <v>186</v>
      </c>
      <c r="B96" t="s">
        <v>189</v>
      </c>
      <c r="C96" t="s">
        <v>52</v>
      </c>
      <c r="D96" t="s">
        <v>119</v>
      </c>
      <c r="E96" t="s">
        <v>75</v>
      </c>
      <c r="F96" s="171">
        <v>6351456</v>
      </c>
      <c r="G96" s="171">
        <v>10913</v>
      </c>
      <c r="H96">
        <v>582</v>
      </c>
    </row>
    <row r="97" spans="1:8" hidden="1" x14ac:dyDescent="0.25">
      <c r="A97" t="s">
        <v>186</v>
      </c>
      <c r="B97" t="s">
        <v>189</v>
      </c>
      <c r="C97" t="s">
        <v>52</v>
      </c>
      <c r="D97" t="s">
        <v>121</v>
      </c>
      <c r="E97" t="s">
        <v>75</v>
      </c>
      <c r="F97" s="171">
        <v>6764998</v>
      </c>
      <c r="G97" s="171">
        <v>11786</v>
      </c>
      <c r="H97">
        <v>574</v>
      </c>
    </row>
    <row r="98" spans="1:8" hidden="1" x14ac:dyDescent="0.25">
      <c r="A98" t="s">
        <v>186</v>
      </c>
      <c r="B98" t="s">
        <v>189</v>
      </c>
      <c r="C98" t="s">
        <v>52</v>
      </c>
      <c r="D98" t="s">
        <v>125</v>
      </c>
      <c r="E98" t="s">
        <v>75</v>
      </c>
      <c r="F98" s="171">
        <v>14339015</v>
      </c>
      <c r="G98" s="171">
        <v>29935</v>
      </c>
      <c r="H98">
        <v>479</v>
      </c>
    </row>
    <row r="99" spans="1:8" hidden="1" x14ac:dyDescent="0.25">
      <c r="A99" t="s">
        <v>186</v>
      </c>
      <c r="B99" t="s">
        <v>189</v>
      </c>
      <c r="C99" t="s">
        <v>52</v>
      </c>
      <c r="D99" t="s">
        <v>128</v>
      </c>
      <c r="E99" t="s">
        <v>75</v>
      </c>
      <c r="F99" s="171">
        <v>123115</v>
      </c>
      <c r="G99" s="171">
        <v>2863</v>
      </c>
      <c r="H99">
        <v>43</v>
      </c>
    </row>
    <row r="100" spans="1:8" hidden="1" x14ac:dyDescent="0.25">
      <c r="A100" t="s">
        <v>186</v>
      </c>
      <c r="B100" t="s">
        <v>189</v>
      </c>
      <c r="C100" t="s">
        <v>52</v>
      </c>
      <c r="D100" t="s">
        <v>130</v>
      </c>
      <c r="E100" t="s">
        <v>75</v>
      </c>
      <c r="F100" s="171">
        <v>418958</v>
      </c>
      <c r="G100" s="171">
        <v>34913</v>
      </c>
      <c r="H100">
        <v>12</v>
      </c>
    </row>
    <row r="101" spans="1:8" hidden="1" x14ac:dyDescent="0.25">
      <c r="A101" t="s">
        <v>186</v>
      </c>
      <c r="B101" t="s">
        <v>189</v>
      </c>
      <c r="C101" t="s">
        <v>52</v>
      </c>
      <c r="D101" t="s">
        <v>133</v>
      </c>
      <c r="E101" t="s">
        <v>75</v>
      </c>
      <c r="F101" s="171">
        <v>1238453</v>
      </c>
      <c r="G101" s="171">
        <v>8368</v>
      </c>
      <c r="H101">
        <v>148</v>
      </c>
    </row>
    <row r="102" spans="1:8" hidden="1" x14ac:dyDescent="0.25">
      <c r="A102" t="s">
        <v>186</v>
      </c>
      <c r="B102" t="s">
        <v>189</v>
      </c>
      <c r="C102" t="s">
        <v>52</v>
      </c>
      <c r="D102" t="s">
        <v>138</v>
      </c>
      <c r="E102" t="s">
        <v>75</v>
      </c>
      <c r="F102" s="171">
        <v>3302969</v>
      </c>
      <c r="G102" s="171">
        <v>14487</v>
      </c>
      <c r="H102">
        <v>228</v>
      </c>
    </row>
    <row r="103" spans="1:8" hidden="1" x14ac:dyDescent="0.25">
      <c r="A103" t="s">
        <v>186</v>
      </c>
      <c r="B103" t="s">
        <v>189</v>
      </c>
      <c r="C103" t="s">
        <v>52</v>
      </c>
      <c r="D103" t="s">
        <v>140</v>
      </c>
      <c r="E103" t="s">
        <v>75</v>
      </c>
      <c r="F103" s="171">
        <v>115534</v>
      </c>
      <c r="G103" s="171">
        <v>8887</v>
      </c>
      <c r="H103">
        <v>13</v>
      </c>
    </row>
    <row r="104" spans="1:8" hidden="1" x14ac:dyDescent="0.25">
      <c r="A104" t="s">
        <v>186</v>
      </c>
      <c r="B104" t="s">
        <v>189</v>
      </c>
      <c r="C104" t="s">
        <v>52</v>
      </c>
      <c r="D104" t="s">
        <v>147</v>
      </c>
      <c r="E104" t="s">
        <v>75</v>
      </c>
      <c r="F104" s="171">
        <v>162359</v>
      </c>
      <c r="G104" s="171">
        <v>5412</v>
      </c>
      <c r="H104">
        <v>30</v>
      </c>
    </row>
    <row r="105" spans="1:8" hidden="1" x14ac:dyDescent="0.25">
      <c r="A105" t="s">
        <v>186</v>
      </c>
      <c r="B105" t="s">
        <v>189</v>
      </c>
      <c r="C105" t="s">
        <v>52</v>
      </c>
      <c r="D105" t="s">
        <v>148</v>
      </c>
      <c r="E105" t="s">
        <v>75</v>
      </c>
      <c r="F105" s="171">
        <v>376</v>
      </c>
      <c r="G105" s="171">
        <v>376</v>
      </c>
      <c r="H105">
        <v>1</v>
      </c>
    </row>
    <row r="106" spans="1:8" hidden="1" x14ac:dyDescent="0.25">
      <c r="A106" t="s">
        <v>186</v>
      </c>
      <c r="B106" t="s">
        <v>189</v>
      </c>
      <c r="C106" t="s">
        <v>52</v>
      </c>
      <c r="D106" t="s">
        <v>156</v>
      </c>
      <c r="E106" t="s">
        <v>75</v>
      </c>
      <c r="F106" s="171">
        <v>26997826</v>
      </c>
      <c r="G106" s="171">
        <v>28035</v>
      </c>
      <c r="H106">
        <v>963</v>
      </c>
    </row>
    <row r="107" spans="1:8" hidden="1" x14ac:dyDescent="0.25">
      <c r="A107" t="s">
        <v>186</v>
      </c>
      <c r="B107" t="s">
        <v>189</v>
      </c>
      <c r="C107" t="s">
        <v>52</v>
      </c>
      <c r="D107" t="s">
        <v>160</v>
      </c>
      <c r="E107" t="s">
        <v>75</v>
      </c>
      <c r="F107" s="171">
        <v>5745451</v>
      </c>
      <c r="G107" s="171">
        <v>12463</v>
      </c>
      <c r="H107">
        <v>461</v>
      </c>
    </row>
    <row r="108" spans="1:8" hidden="1" x14ac:dyDescent="0.25">
      <c r="A108" t="s">
        <v>186</v>
      </c>
      <c r="B108" t="s">
        <v>189</v>
      </c>
      <c r="C108" t="s">
        <v>52</v>
      </c>
      <c r="D108" t="s">
        <v>164</v>
      </c>
      <c r="E108" t="s">
        <v>75</v>
      </c>
      <c r="F108" s="171">
        <v>976935</v>
      </c>
      <c r="G108" s="171">
        <v>6344</v>
      </c>
      <c r="H108">
        <v>154</v>
      </c>
    </row>
    <row r="109" spans="1:8" hidden="1" x14ac:dyDescent="0.25">
      <c r="A109" t="s">
        <v>186</v>
      </c>
      <c r="B109" t="s">
        <v>189</v>
      </c>
      <c r="C109" t="s">
        <v>52</v>
      </c>
      <c r="D109" t="s">
        <v>167</v>
      </c>
      <c r="E109" t="s">
        <v>75</v>
      </c>
      <c r="F109" s="171">
        <v>1593250</v>
      </c>
      <c r="G109" s="171">
        <v>8802</v>
      </c>
      <c r="H109">
        <v>181</v>
      </c>
    </row>
    <row r="110" spans="1:8" hidden="1" x14ac:dyDescent="0.25">
      <c r="A110" t="s">
        <v>186</v>
      </c>
      <c r="B110" t="s">
        <v>189</v>
      </c>
      <c r="C110" t="s">
        <v>52</v>
      </c>
      <c r="D110" t="s">
        <v>168</v>
      </c>
      <c r="E110" t="s">
        <v>75</v>
      </c>
      <c r="F110" s="171">
        <v>567009</v>
      </c>
      <c r="G110" s="171">
        <v>5906</v>
      </c>
      <c r="H110">
        <v>96</v>
      </c>
    </row>
    <row r="111" spans="1:8" hidden="1" x14ac:dyDescent="0.25">
      <c r="A111" t="s">
        <v>186</v>
      </c>
      <c r="B111" t="s">
        <v>189</v>
      </c>
      <c r="C111" t="s">
        <v>52</v>
      </c>
      <c r="D111" t="s">
        <v>179</v>
      </c>
      <c r="E111" t="s">
        <v>75</v>
      </c>
      <c r="F111" s="171">
        <v>3636463</v>
      </c>
      <c r="G111" s="171">
        <v>17826</v>
      </c>
      <c r="H111">
        <v>204</v>
      </c>
    </row>
    <row r="112" spans="1:8" hidden="1" x14ac:dyDescent="0.25">
      <c r="A112" t="s">
        <v>186</v>
      </c>
      <c r="B112" t="s">
        <v>189</v>
      </c>
      <c r="C112" t="s">
        <v>52</v>
      </c>
      <c r="D112" t="s">
        <v>182</v>
      </c>
      <c r="E112" t="s">
        <v>75</v>
      </c>
      <c r="F112" s="171">
        <v>60668</v>
      </c>
      <c r="G112" s="171">
        <v>60668</v>
      </c>
      <c r="H112">
        <v>1</v>
      </c>
    </row>
    <row r="113" spans="1:8" hidden="1" x14ac:dyDescent="0.25">
      <c r="A113" t="s">
        <v>71</v>
      </c>
      <c r="B113" t="s">
        <v>76</v>
      </c>
      <c r="C113" t="s">
        <v>52</v>
      </c>
      <c r="D113" t="s">
        <v>73</v>
      </c>
      <c r="E113" t="s">
        <v>75</v>
      </c>
      <c r="F113" s="171">
        <v>7170</v>
      </c>
      <c r="G113" s="171">
        <v>1195</v>
      </c>
      <c r="H113">
        <v>6</v>
      </c>
    </row>
    <row r="114" spans="1:8" hidden="1" x14ac:dyDescent="0.25">
      <c r="A114" t="s">
        <v>71</v>
      </c>
      <c r="B114" t="s">
        <v>76</v>
      </c>
      <c r="C114" t="s">
        <v>52</v>
      </c>
      <c r="D114" t="s">
        <v>80</v>
      </c>
      <c r="E114" t="s">
        <v>75</v>
      </c>
      <c r="F114" s="171">
        <v>3688</v>
      </c>
      <c r="G114" s="171">
        <v>3688</v>
      </c>
      <c r="H114">
        <v>1</v>
      </c>
    </row>
    <row r="115" spans="1:8" hidden="1" x14ac:dyDescent="0.25">
      <c r="A115" t="s">
        <v>71</v>
      </c>
      <c r="B115" t="s">
        <v>76</v>
      </c>
      <c r="C115" t="s">
        <v>52</v>
      </c>
      <c r="D115" t="s">
        <v>82</v>
      </c>
      <c r="E115" t="s">
        <v>75</v>
      </c>
      <c r="F115" s="171">
        <v>69962</v>
      </c>
      <c r="G115" s="171">
        <v>5382</v>
      </c>
      <c r="H115">
        <v>13</v>
      </c>
    </row>
    <row r="116" spans="1:8" hidden="1" x14ac:dyDescent="0.25">
      <c r="A116" t="s">
        <v>71</v>
      </c>
      <c r="B116" t="s">
        <v>76</v>
      </c>
      <c r="C116" t="s">
        <v>52</v>
      </c>
      <c r="D116" t="s">
        <v>84</v>
      </c>
      <c r="E116" t="s">
        <v>75</v>
      </c>
      <c r="F116" s="171">
        <v>16793</v>
      </c>
      <c r="G116" s="171">
        <v>2799</v>
      </c>
      <c r="H116">
        <v>6</v>
      </c>
    </row>
    <row r="117" spans="1:8" hidden="1" x14ac:dyDescent="0.25">
      <c r="A117" t="s">
        <v>71</v>
      </c>
      <c r="B117" t="s">
        <v>76</v>
      </c>
      <c r="C117" t="s">
        <v>52</v>
      </c>
      <c r="D117" t="s">
        <v>86</v>
      </c>
      <c r="E117" t="s">
        <v>75</v>
      </c>
      <c r="F117" s="171">
        <v>328366</v>
      </c>
      <c r="G117" s="171">
        <v>8875</v>
      </c>
      <c r="H117">
        <v>37</v>
      </c>
    </row>
    <row r="118" spans="1:8" hidden="1" x14ac:dyDescent="0.25">
      <c r="A118" t="s">
        <v>71</v>
      </c>
      <c r="B118" t="s">
        <v>76</v>
      </c>
      <c r="C118" t="s">
        <v>52</v>
      </c>
      <c r="D118" t="s">
        <v>89</v>
      </c>
      <c r="E118" t="s">
        <v>75</v>
      </c>
      <c r="F118" s="171">
        <v>273567</v>
      </c>
      <c r="G118" s="171">
        <v>4145</v>
      </c>
      <c r="H118">
        <v>66</v>
      </c>
    </row>
    <row r="119" spans="1:8" hidden="1" x14ac:dyDescent="0.25">
      <c r="A119" t="s">
        <v>71</v>
      </c>
      <c r="B119" t="s">
        <v>76</v>
      </c>
      <c r="C119" t="s">
        <v>52</v>
      </c>
      <c r="D119" t="s">
        <v>91</v>
      </c>
      <c r="E119" t="s">
        <v>75</v>
      </c>
      <c r="F119" s="171">
        <v>1655735</v>
      </c>
      <c r="G119" s="171">
        <v>6443</v>
      </c>
      <c r="H119">
        <v>257</v>
      </c>
    </row>
    <row r="120" spans="1:8" hidden="1" x14ac:dyDescent="0.25">
      <c r="A120" t="s">
        <v>71</v>
      </c>
      <c r="B120" t="s">
        <v>76</v>
      </c>
      <c r="C120" t="s">
        <v>52</v>
      </c>
      <c r="D120" t="s">
        <v>100</v>
      </c>
      <c r="E120" t="s">
        <v>75</v>
      </c>
      <c r="F120" s="171">
        <v>1432430</v>
      </c>
      <c r="G120" s="171">
        <v>6338</v>
      </c>
      <c r="H120">
        <v>226</v>
      </c>
    </row>
    <row r="121" spans="1:8" hidden="1" x14ac:dyDescent="0.25">
      <c r="A121" t="s">
        <v>71</v>
      </c>
      <c r="B121" t="s">
        <v>76</v>
      </c>
      <c r="C121" t="s">
        <v>52</v>
      </c>
      <c r="D121" t="s">
        <v>101</v>
      </c>
      <c r="E121" t="s">
        <v>75</v>
      </c>
      <c r="F121" s="171">
        <v>114733</v>
      </c>
      <c r="G121" s="171">
        <v>4413</v>
      </c>
      <c r="H121">
        <v>26</v>
      </c>
    </row>
    <row r="122" spans="1:8" hidden="1" x14ac:dyDescent="0.25">
      <c r="A122" t="s">
        <v>71</v>
      </c>
      <c r="B122" t="s">
        <v>76</v>
      </c>
      <c r="C122" t="s">
        <v>52</v>
      </c>
      <c r="D122" t="s">
        <v>102</v>
      </c>
      <c r="E122" t="s">
        <v>75</v>
      </c>
      <c r="F122" s="171">
        <v>5496880</v>
      </c>
      <c r="G122" s="171">
        <v>5911</v>
      </c>
      <c r="H122">
        <v>930</v>
      </c>
    </row>
    <row r="123" spans="1:8" hidden="1" x14ac:dyDescent="0.25">
      <c r="A123" t="s">
        <v>71</v>
      </c>
      <c r="B123" t="s">
        <v>76</v>
      </c>
      <c r="C123" t="s">
        <v>52</v>
      </c>
      <c r="D123" t="s">
        <v>107</v>
      </c>
      <c r="E123" t="s">
        <v>75</v>
      </c>
      <c r="F123" s="171">
        <v>1115150</v>
      </c>
      <c r="G123" s="171">
        <v>8850</v>
      </c>
      <c r="H123">
        <v>126</v>
      </c>
    </row>
    <row r="124" spans="1:8" hidden="1" x14ac:dyDescent="0.25">
      <c r="A124" t="s">
        <v>71</v>
      </c>
      <c r="B124" t="s">
        <v>76</v>
      </c>
      <c r="C124" t="s">
        <v>52</v>
      </c>
      <c r="D124" t="s">
        <v>115</v>
      </c>
      <c r="E124" t="s">
        <v>75</v>
      </c>
      <c r="F124" s="171">
        <v>417986</v>
      </c>
      <c r="G124" s="171">
        <v>11297</v>
      </c>
      <c r="H124">
        <v>37</v>
      </c>
    </row>
    <row r="125" spans="1:8" hidden="1" x14ac:dyDescent="0.25">
      <c r="A125" t="s">
        <v>71</v>
      </c>
      <c r="B125" t="s">
        <v>76</v>
      </c>
      <c r="C125" t="s">
        <v>52</v>
      </c>
      <c r="D125" t="s">
        <v>119</v>
      </c>
      <c r="E125" t="s">
        <v>75</v>
      </c>
      <c r="F125" s="171">
        <v>4874440</v>
      </c>
      <c r="G125" s="171">
        <v>8492</v>
      </c>
      <c r="H125">
        <v>574</v>
      </c>
    </row>
    <row r="126" spans="1:8" hidden="1" x14ac:dyDescent="0.25">
      <c r="A126" t="s">
        <v>71</v>
      </c>
      <c r="B126" t="s">
        <v>76</v>
      </c>
      <c r="C126" t="s">
        <v>52</v>
      </c>
      <c r="D126" t="s">
        <v>121</v>
      </c>
      <c r="E126" t="s">
        <v>75</v>
      </c>
      <c r="F126" s="171">
        <v>6875014</v>
      </c>
      <c r="G126" s="171">
        <v>12477</v>
      </c>
      <c r="H126">
        <v>551</v>
      </c>
    </row>
    <row r="127" spans="1:8" hidden="1" x14ac:dyDescent="0.25">
      <c r="A127" t="s">
        <v>71</v>
      </c>
      <c r="B127" t="s">
        <v>76</v>
      </c>
      <c r="C127" t="s">
        <v>52</v>
      </c>
      <c r="D127" t="s">
        <v>125</v>
      </c>
      <c r="E127" t="s">
        <v>75</v>
      </c>
      <c r="F127" s="171">
        <v>12546360</v>
      </c>
      <c r="G127" s="171">
        <v>24221</v>
      </c>
      <c r="H127">
        <v>518</v>
      </c>
    </row>
    <row r="128" spans="1:8" hidden="1" x14ac:dyDescent="0.25">
      <c r="A128" t="s">
        <v>71</v>
      </c>
      <c r="B128" t="s">
        <v>76</v>
      </c>
      <c r="C128" t="s">
        <v>52</v>
      </c>
      <c r="D128" t="s">
        <v>128</v>
      </c>
      <c r="E128" t="s">
        <v>75</v>
      </c>
      <c r="F128" s="171">
        <v>129010</v>
      </c>
      <c r="G128" s="171">
        <v>3794</v>
      </c>
      <c r="H128">
        <v>34</v>
      </c>
    </row>
    <row r="129" spans="1:8" hidden="1" x14ac:dyDescent="0.25">
      <c r="A129" t="s">
        <v>71</v>
      </c>
      <c r="B129" t="s">
        <v>76</v>
      </c>
      <c r="C129" t="s">
        <v>52</v>
      </c>
      <c r="D129" t="s">
        <v>130</v>
      </c>
      <c r="E129" t="s">
        <v>75</v>
      </c>
      <c r="F129" s="171">
        <v>68504</v>
      </c>
      <c r="G129" s="171">
        <v>7612</v>
      </c>
      <c r="H129">
        <v>9</v>
      </c>
    </row>
    <row r="130" spans="1:8" hidden="1" x14ac:dyDescent="0.25">
      <c r="A130" t="s">
        <v>71</v>
      </c>
      <c r="B130" t="s">
        <v>76</v>
      </c>
      <c r="C130" t="s">
        <v>52</v>
      </c>
      <c r="D130" t="s">
        <v>133</v>
      </c>
      <c r="E130" t="s">
        <v>75</v>
      </c>
      <c r="F130" s="171">
        <v>1220569</v>
      </c>
      <c r="G130" s="171">
        <v>8975</v>
      </c>
      <c r="H130">
        <v>136</v>
      </c>
    </row>
    <row r="131" spans="1:8" hidden="1" x14ac:dyDescent="0.25">
      <c r="A131" t="s">
        <v>71</v>
      </c>
      <c r="B131" t="s">
        <v>76</v>
      </c>
      <c r="C131" t="s">
        <v>52</v>
      </c>
      <c r="D131" t="s">
        <v>138</v>
      </c>
      <c r="E131" t="s">
        <v>75</v>
      </c>
      <c r="F131" s="171">
        <v>2744628</v>
      </c>
      <c r="G131" s="171">
        <v>12144</v>
      </c>
      <c r="H131">
        <v>226</v>
      </c>
    </row>
    <row r="132" spans="1:8" hidden="1" x14ac:dyDescent="0.25">
      <c r="A132" t="s">
        <v>71</v>
      </c>
      <c r="B132" t="s">
        <v>76</v>
      </c>
      <c r="C132" t="s">
        <v>52</v>
      </c>
      <c r="D132" t="s">
        <v>140</v>
      </c>
      <c r="E132" t="s">
        <v>75</v>
      </c>
      <c r="F132" s="171">
        <v>76979</v>
      </c>
      <c r="G132" s="171">
        <v>7698</v>
      </c>
      <c r="H132">
        <v>10</v>
      </c>
    </row>
    <row r="133" spans="1:8" hidden="1" x14ac:dyDescent="0.25">
      <c r="A133" t="s">
        <v>71</v>
      </c>
      <c r="B133" t="s">
        <v>76</v>
      </c>
      <c r="C133" t="s">
        <v>52</v>
      </c>
      <c r="D133" t="s">
        <v>147</v>
      </c>
      <c r="E133" t="s">
        <v>75</v>
      </c>
      <c r="F133" s="171">
        <v>150202</v>
      </c>
      <c r="G133" s="171">
        <v>4060</v>
      </c>
      <c r="H133">
        <v>37</v>
      </c>
    </row>
    <row r="134" spans="1:8" hidden="1" x14ac:dyDescent="0.25">
      <c r="A134" t="s">
        <v>71</v>
      </c>
      <c r="B134" t="s">
        <v>76</v>
      </c>
      <c r="C134" t="s">
        <v>52</v>
      </c>
      <c r="D134" t="s">
        <v>148</v>
      </c>
      <c r="E134" t="s">
        <v>75</v>
      </c>
      <c r="F134" s="171">
        <v>29520</v>
      </c>
      <c r="G134" s="171">
        <v>5904</v>
      </c>
      <c r="H134">
        <v>5</v>
      </c>
    </row>
    <row r="135" spans="1:8" hidden="1" x14ac:dyDescent="0.25">
      <c r="A135" t="s">
        <v>71</v>
      </c>
      <c r="B135" t="s">
        <v>76</v>
      </c>
      <c r="C135" t="s">
        <v>52</v>
      </c>
      <c r="D135" t="s">
        <v>156</v>
      </c>
      <c r="E135" t="s">
        <v>75</v>
      </c>
      <c r="F135" s="171">
        <v>19090520</v>
      </c>
      <c r="G135" s="171">
        <v>19520</v>
      </c>
      <c r="H135">
        <v>978</v>
      </c>
    </row>
    <row r="136" spans="1:8" hidden="1" x14ac:dyDescent="0.25">
      <c r="A136" t="s">
        <v>71</v>
      </c>
      <c r="B136" t="s">
        <v>76</v>
      </c>
      <c r="C136" t="s">
        <v>52</v>
      </c>
      <c r="D136" t="s">
        <v>160</v>
      </c>
      <c r="E136" t="s">
        <v>75</v>
      </c>
      <c r="F136" s="171">
        <v>3672134</v>
      </c>
      <c r="G136" s="171">
        <v>9464</v>
      </c>
      <c r="H136">
        <v>388</v>
      </c>
    </row>
    <row r="137" spans="1:8" hidden="1" x14ac:dyDescent="0.25">
      <c r="A137" t="s">
        <v>71</v>
      </c>
      <c r="B137" t="s">
        <v>76</v>
      </c>
      <c r="C137" t="s">
        <v>52</v>
      </c>
      <c r="D137" t="s">
        <v>164</v>
      </c>
      <c r="E137" t="s">
        <v>75</v>
      </c>
      <c r="F137" s="171">
        <v>915888</v>
      </c>
      <c r="G137" s="171">
        <v>6188</v>
      </c>
      <c r="H137">
        <v>148</v>
      </c>
    </row>
    <row r="138" spans="1:8" hidden="1" x14ac:dyDescent="0.25">
      <c r="A138" t="s">
        <v>71</v>
      </c>
      <c r="B138" t="s">
        <v>76</v>
      </c>
      <c r="C138" t="s">
        <v>52</v>
      </c>
      <c r="D138" t="s">
        <v>167</v>
      </c>
      <c r="E138" t="s">
        <v>75</v>
      </c>
      <c r="F138" s="171">
        <v>1438840</v>
      </c>
      <c r="G138" s="171">
        <v>7863</v>
      </c>
      <c r="H138">
        <v>183</v>
      </c>
    </row>
    <row r="139" spans="1:8" hidden="1" x14ac:dyDescent="0.25">
      <c r="A139" t="s">
        <v>71</v>
      </c>
      <c r="B139" t="s">
        <v>76</v>
      </c>
      <c r="C139" t="s">
        <v>52</v>
      </c>
      <c r="D139" t="s">
        <v>168</v>
      </c>
      <c r="E139" t="s">
        <v>75</v>
      </c>
      <c r="F139" s="171">
        <v>455762</v>
      </c>
      <c r="G139" s="171">
        <v>5426</v>
      </c>
      <c r="H139">
        <v>84</v>
      </c>
    </row>
    <row r="140" spans="1:8" hidden="1" x14ac:dyDescent="0.25">
      <c r="A140" t="s">
        <v>71</v>
      </c>
      <c r="B140" t="s">
        <v>76</v>
      </c>
      <c r="C140" t="s">
        <v>52</v>
      </c>
      <c r="D140" t="s">
        <v>179</v>
      </c>
      <c r="E140" t="s">
        <v>75</v>
      </c>
      <c r="F140" s="171">
        <v>3106866</v>
      </c>
      <c r="G140" s="171">
        <v>18276</v>
      </c>
      <c r="H140">
        <v>170</v>
      </c>
    </row>
    <row r="141" spans="1:8" hidden="1" x14ac:dyDescent="0.25">
      <c r="A141" t="s">
        <v>71</v>
      </c>
      <c r="B141" t="s">
        <v>76</v>
      </c>
      <c r="C141" t="s">
        <v>52</v>
      </c>
      <c r="D141" t="s">
        <v>182</v>
      </c>
      <c r="E141" t="s">
        <v>75</v>
      </c>
      <c r="F141" s="171">
        <v>17478</v>
      </c>
      <c r="G141" s="171">
        <v>17478</v>
      </c>
      <c r="H141">
        <v>1</v>
      </c>
    </row>
    <row r="142" spans="1:8" hidden="1" x14ac:dyDescent="0.25">
      <c r="A142" t="s">
        <v>71</v>
      </c>
      <c r="B142" t="s">
        <v>72</v>
      </c>
      <c r="C142" t="s">
        <v>52</v>
      </c>
      <c r="D142" t="s">
        <v>73</v>
      </c>
      <c r="E142" t="s">
        <v>75</v>
      </c>
      <c r="F142" s="171">
        <v>46856</v>
      </c>
      <c r="G142" s="171">
        <v>7809</v>
      </c>
      <c r="H142">
        <v>6</v>
      </c>
    </row>
    <row r="143" spans="1:8" hidden="1" x14ac:dyDescent="0.25">
      <c r="A143" t="s">
        <v>71</v>
      </c>
      <c r="B143" t="s">
        <v>72</v>
      </c>
      <c r="C143" t="s">
        <v>52</v>
      </c>
      <c r="D143" t="s">
        <v>80</v>
      </c>
      <c r="E143" t="s">
        <v>75</v>
      </c>
      <c r="F143" s="171">
        <v>4379</v>
      </c>
      <c r="G143" s="171">
        <v>4379</v>
      </c>
      <c r="H143">
        <v>1</v>
      </c>
    </row>
    <row r="144" spans="1:8" hidden="1" x14ac:dyDescent="0.25">
      <c r="A144" t="s">
        <v>71</v>
      </c>
      <c r="B144" t="s">
        <v>72</v>
      </c>
      <c r="C144" t="s">
        <v>52</v>
      </c>
      <c r="D144" t="s">
        <v>82</v>
      </c>
      <c r="E144" t="s">
        <v>75</v>
      </c>
      <c r="F144" s="171">
        <v>57249</v>
      </c>
      <c r="G144" s="171">
        <v>4771</v>
      </c>
      <c r="H144">
        <v>12</v>
      </c>
    </row>
    <row r="145" spans="1:8" hidden="1" x14ac:dyDescent="0.25">
      <c r="A145" t="s">
        <v>71</v>
      </c>
      <c r="B145" t="s">
        <v>72</v>
      </c>
      <c r="C145" t="s">
        <v>52</v>
      </c>
      <c r="D145" t="s">
        <v>84</v>
      </c>
      <c r="E145" t="s">
        <v>75</v>
      </c>
      <c r="F145" s="171">
        <v>118279</v>
      </c>
      <c r="G145" s="171">
        <v>14785</v>
      </c>
      <c r="H145">
        <v>8</v>
      </c>
    </row>
    <row r="146" spans="1:8" hidden="1" x14ac:dyDescent="0.25">
      <c r="A146" t="s">
        <v>71</v>
      </c>
      <c r="B146" t="s">
        <v>72</v>
      </c>
      <c r="C146" t="s">
        <v>52</v>
      </c>
      <c r="D146" t="s">
        <v>86</v>
      </c>
      <c r="E146" t="s">
        <v>75</v>
      </c>
      <c r="F146" s="171">
        <v>422203</v>
      </c>
      <c r="G146" s="171">
        <v>8796</v>
      </c>
      <c r="H146">
        <v>48</v>
      </c>
    </row>
    <row r="147" spans="1:8" hidden="1" x14ac:dyDescent="0.25">
      <c r="A147" t="s">
        <v>71</v>
      </c>
      <c r="B147" t="s">
        <v>72</v>
      </c>
      <c r="C147" t="s">
        <v>52</v>
      </c>
      <c r="D147" t="s">
        <v>89</v>
      </c>
      <c r="E147" t="s">
        <v>75</v>
      </c>
      <c r="F147" s="171">
        <v>269596</v>
      </c>
      <c r="G147" s="171">
        <v>3643</v>
      </c>
      <c r="H147">
        <v>74</v>
      </c>
    </row>
    <row r="148" spans="1:8" hidden="1" x14ac:dyDescent="0.25">
      <c r="A148" t="s">
        <v>71</v>
      </c>
      <c r="B148" t="s">
        <v>72</v>
      </c>
      <c r="C148" t="s">
        <v>52</v>
      </c>
      <c r="D148" t="s">
        <v>91</v>
      </c>
      <c r="E148" t="s">
        <v>75</v>
      </c>
      <c r="F148" s="171">
        <v>1672832</v>
      </c>
      <c r="G148" s="171">
        <v>6800</v>
      </c>
      <c r="H148">
        <v>246</v>
      </c>
    </row>
    <row r="149" spans="1:8" hidden="1" x14ac:dyDescent="0.25">
      <c r="A149" t="s">
        <v>71</v>
      </c>
      <c r="B149" t="s">
        <v>72</v>
      </c>
      <c r="C149" t="s">
        <v>52</v>
      </c>
      <c r="D149" t="s">
        <v>100</v>
      </c>
      <c r="E149" t="s">
        <v>75</v>
      </c>
      <c r="F149" s="171">
        <v>1329122</v>
      </c>
      <c r="G149" s="171">
        <v>6299</v>
      </c>
      <c r="H149">
        <v>211</v>
      </c>
    </row>
    <row r="150" spans="1:8" hidden="1" x14ac:dyDescent="0.25">
      <c r="A150" t="s">
        <v>71</v>
      </c>
      <c r="B150" t="s">
        <v>72</v>
      </c>
      <c r="C150" t="s">
        <v>52</v>
      </c>
      <c r="D150" t="s">
        <v>101</v>
      </c>
      <c r="E150" t="s">
        <v>75</v>
      </c>
      <c r="F150" s="171">
        <v>130052</v>
      </c>
      <c r="G150" s="171">
        <v>3941</v>
      </c>
      <c r="H150">
        <v>33</v>
      </c>
    </row>
    <row r="151" spans="1:8" hidden="1" x14ac:dyDescent="0.25">
      <c r="A151" t="s">
        <v>71</v>
      </c>
      <c r="B151" t="s">
        <v>72</v>
      </c>
      <c r="C151" t="s">
        <v>52</v>
      </c>
      <c r="D151" t="s">
        <v>102</v>
      </c>
      <c r="E151" t="s">
        <v>75</v>
      </c>
      <c r="F151" s="171">
        <v>5129957</v>
      </c>
      <c r="G151" s="171">
        <v>5713</v>
      </c>
      <c r="H151">
        <v>898</v>
      </c>
    </row>
    <row r="152" spans="1:8" hidden="1" x14ac:dyDescent="0.25">
      <c r="A152" t="s">
        <v>71</v>
      </c>
      <c r="B152" t="s">
        <v>72</v>
      </c>
      <c r="C152" t="s">
        <v>52</v>
      </c>
      <c r="D152" t="s">
        <v>107</v>
      </c>
      <c r="E152" t="s">
        <v>75</v>
      </c>
      <c r="F152" s="171">
        <v>1314793</v>
      </c>
      <c r="G152" s="171">
        <v>11334</v>
      </c>
      <c r="H152">
        <v>116</v>
      </c>
    </row>
    <row r="153" spans="1:8" hidden="1" x14ac:dyDescent="0.25">
      <c r="A153" t="s">
        <v>71</v>
      </c>
      <c r="B153" t="s">
        <v>72</v>
      </c>
      <c r="C153" t="s">
        <v>52</v>
      </c>
      <c r="D153" t="s">
        <v>115</v>
      </c>
      <c r="E153" t="s">
        <v>75</v>
      </c>
      <c r="F153" s="171">
        <v>385743</v>
      </c>
      <c r="G153" s="171">
        <v>12443</v>
      </c>
      <c r="H153">
        <v>31</v>
      </c>
    </row>
    <row r="154" spans="1:8" hidden="1" x14ac:dyDescent="0.25">
      <c r="A154" t="s">
        <v>71</v>
      </c>
      <c r="B154" t="s">
        <v>72</v>
      </c>
      <c r="C154" t="s">
        <v>52</v>
      </c>
      <c r="D154" t="s">
        <v>119</v>
      </c>
      <c r="E154" t="s">
        <v>75</v>
      </c>
      <c r="F154" s="171">
        <v>4662773</v>
      </c>
      <c r="G154" s="171">
        <v>7998</v>
      </c>
      <c r="H154">
        <v>583</v>
      </c>
    </row>
    <row r="155" spans="1:8" hidden="1" x14ac:dyDescent="0.25">
      <c r="A155" t="s">
        <v>71</v>
      </c>
      <c r="B155" t="s">
        <v>72</v>
      </c>
      <c r="C155" t="s">
        <v>52</v>
      </c>
      <c r="D155" t="s">
        <v>121</v>
      </c>
      <c r="E155" t="s">
        <v>75</v>
      </c>
      <c r="F155" s="171">
        <v>6276809</v>
      </c>
      <c r="G155" s="171">
        <v>10935</v>
      </c>
      <c r="H155">
        <v>574</v>
      </c>
    </row>
    <row r="156" spans="1:8" hidden="1" x14ac:dyDescent="0.25">
      <c r="A156" t="s">
        <v>71</v>
      </c>
      <c r="B156" t="s">
        <v>72</v>
      </c>
      <c r="C156" t="s">
        <v>52</v>
      </c>
      <c r="D156" t="s">
        <v>125</v>
      </c>
      <c r="E156" t="s">
        <v>75</v>
      </c>
      <c r="F156" s="171">
        <v>11807297</v>
      </c>
      <c r="G156" s="171">
        <v>22750</v>
      </c>
      <c r="H156">
        <v>519</v>
      </c>
    </row>
    <row r="157" spans="1:8" hidden="1" x14ac:dyDescent="0.25">
      <c r="A157" t="s">
        <v>71</v>
      </c>
      <c r="B157" t="s">
        <v>72</v>
      </c>
      <c r="C157" t="s">
        <v>52</v>
      </c>
      <c r="D157" t="s">
        <v>128</v>
      </c>
      <c r="E157" t="s">
        <v>75</v>
      </c>
      <c r="F157" s="171">
        <v>36313</v>
      </c>
      <c r="G157" s="171">
        <v>1345</v>
      </c>
      <c r="H157">
        <v>27</v>
      </c>
    </row>
    <row r="158" spans="1:8" hidden="1" x14ac:dyDescent="0.25">
      <c r="A158" t="s">
        <v>71</v>
      </c>
      <c r="B158" t="s">
        <v>72</v>
      </c>
      <c r="C158" t="s">
        <v>52</v>
      </c>
      <c r="D158" t="s">
        <v>130</v>
      </c>
      <c r="E158" t="s">
        <v>75</v>
      </c>
      <c r="F158" s="171">
        <v>90701</v>
      </c>
      <c r="G158" s="171">
        <v>10078</v>
      </c>
      <c r="H158">
        <v>9</v>
      </c>
    </row>
    <row r="159" spans="1:8" hidden="1" x14ac:dyDescent="0.25">
      <c r="A159" t="s">
        <v>71</v>
      </c>
      <c r="B159" t="s">
        <v>72</v>
      </c>
      <c r="C159" t="s">
        <v>52</v>
      </c>
      <c r="D159" t="s">
        <v>133</v>
      </c>
      <c r="E159" t="s">
        <v>75</v>
      </c>
      <c r="F159" s="171">
        <v>1147562</v>
      </c>
      <c r="G159" s="171">
        <v>8197</v>
      </c>
      <c r="H159">
        <v>140</v>
      </c>
    </row>
    <row r="160" spans="1:8" hidden="1" x14ac:dyDescent="0.25">
      <c r="A160" t="s">
        <v>71</v>
      </c>
      <c r="B160" t="s">
        <v>72</v>
      </c>
      <c r="C160" t="s">
        <v>52</v>
      </c>
      <c r="D160" t="s">
        <v>138</v>
      </c>
      <c r="E160" t="s">
        <v>75</v>
      </c>
      <c r="F160" s="171">
        <v>2146183</v>
      </c>
      <c r="G160" s="171">
        <v>9496</v>
      </c>
      <c r="H160">
        <v>226</v>
      </c>
    </row>
    <row r="161" spans="1:8" hidden="1" x14ac:dyDescent="0.25">
      <c r="A161" t="s">
        <v>71</v>
      </c>
      <c r="B161" t="s">
        <v>72</v>
      </c>
      <c r="C161" t="s">
        <v>52</v>
      </c>
      <c r="D161" t="s">
        <v>140</v>
      </c>
      <c r="E161" t="s">
        <v>75</v>
      </c>
      <c r="F161" s="171">
        <v>47731</v>
      </c>
      <c r="G161" s="171">
        <v>3182</v>
      </c>
      <c r="H161">
        <v>15</v>
      </c>
    </row>
    <row r="162" spans="1:8" hidden="1" x14ac:dyDescent="0.25">
      <c r="A162" t="s">
        <v>71</v>
      </c>
      <c r="B162" t="s">
        <v>72</v>
      </c>
      <c r="C162" t="s">
        <v>52</v>
      </c>
      <c r="D162" t="s">
        <v>147</v>
      </c>
      <c r="E162" t="s">
        <v>75</v>
      </c>
      <c r="F162" s="171">
        <v>155904</v>
      </c>
      <c r="G162" s="171">
        <v>4872</v>
      </c>
      <c r="H162">
        <v>32</v>
      </c>
    </row>
    <row r="163" spans="1:8" hidden="1" x14ac:dyDescent="0.25">
      <c r="A163" t="s">
        <v>71</v>
      </c>
      <c r="B163" t="s">
        <v>72</v>
      </c>
      <c r="C163" t="s">
        <v>52</v>
      </c>
      <c r="D163" t="s">
        <v>148</v>
      </c>
      <c r="E163" t="s">
        <v>75</v>
      </c>
      <c r="F163" s="171">
        <v>17808</v>
      </c>
      <c r="G163" s="171">
        <v>2968</v>
      </c>
      <c r="H163">
        <v>6</v>
      </c>
    </row>
    <row r="164" spans="1:8" hidden="1" x14ac:dyDescent="0.25">
      <c r="A164" t="s">
        <v>71</v>
      </c>
      <c r="B164" t="s">
        <v>72</v>
      </c>
      <c r="C164" t="s">
        <v>52</v>
      </c>
      <c r="D164" t="s">
        <v>156</v>
      </c>
      <c r="E164" t="s">
        <v>75</v>
      </c>
      <c r="F164" s="171">
        <v>18677602</v>
      </c>
      <c r="G164" s="171">
        <v>18622</v>
      </c>
      <c r="H164">
        <v>1003</v>
      </c>
    </row>
    <row r="165" spans="1:8" hidden="1" x14ac:dyDescent="0.25">
      <c r="A165" t="s">
        <v>71</v>
      </c>
      <c r="B165" t="s">
        <v>72</v>
      </c>
      <c r="C165" t="s">
        <v>52</v>
      </c>
      <c r="D165" t="s">
        <v>160</v>
      </c>
      <c r="E165" t="s">
        <v>75</v>
      </c>
      <c r="F165" s="171">
        <v>3713198</v>
      </c>
      <c r="G165" s="171">
        <v>8991</v>
      </c>
      <c r="H165">
        <v>413</v>
      </c>
    </row>
    <row r="166" spans="1:8" hidden="1" x14ac:dyDescent="0.25">
      <c r="A166" t="s">
        <v>71</v>
      </c>
      <c r="B166" t="s">
        <v>72</v>
      </c>
      <c r="C166" t="s">
        <v>52</v>
      </c>
      <c r="D166" t="s">
        <v>164</v>
      </c>
      <c r="E166" t="s">
        <v>75</v>
      </c>
      <c r="F166" s="171">
        <v>1028851</v>
      </c>
      <c r="G166" s="171">
        <v>6273</v>
      </c>
      <c r="H166">
        <v>164</v>
      </c>
    </row>
    <row r="167" spans="1:8" hidden="1" x14ac:dyDescent="0.25">
      <c r="A167" t="s">
        <v>71</v>
      </c>
      <c r="B167" t="s">
        <v>72</v>
      </c>
      <c r="C167" t="s">
        <v>52</v>
      </c>
      <c r="D167" t="s">
        <v>167</v>
      </c>
      <c r="E167" t="s">
        <v>75</v>
      </c>
      <c r="F167" s="171">
        <v>1484907</v>
      </c>
      <c r="G167" s="171">
        <v>7898</v>
      </c>
      <c r="H167">
        <v>188</v>
      </c>
    </row>
    <row r="168" spans="1:8" hidden="1" x14ac:dyDescent="0.25">
      <c r="A168" t="s">
        <v>71</v>
      </c>
      <c r="B168" t="s">
        <v>72</v>
      </c>
      <c r="C168" t="s">
        <v>52</v>
      </c>
      <c r="D168" t="s">
        <v>168</v>
      </c>
      <c r="E168" t="s">
        <v>75</v>
      </c>
      <c r="F168" s="171">
        <v>282911</v>
      </c>
      <c r="G168" s="171">
        <v>3823</v>
      </c>
      <c r="H168">
        <v>74</v>
      </c>
    </row>
    <row r="169" spans="1:8" hidden="1" x14ac:dyDescent="0.25">
      <c r="A169" t="s">
        <v>71</v>
      </c>
      <c r="B169" t="s">
        <v>72</v>
      </c>
      <c r="C169" t="s">
        <v>52</v>
      </c>
      <c r="D169" t="s">
        <v>179</v>
      </c>
      <c r="E169" t="s">
        <v>75</v>
      </c>
      <c r="F169" s="171">
        <v>3220182</v>
      </c>
      <c r="G169" s="171">
        <v>18401</v>
      </c>
      <c r="H169">
        <v>175</v>
      </c>
    </row>
    <row r="170" spans="1:8" hidden="1" x14ac:dyDescent="0.25">
      <c r="A170" t="s">
        <v>71</v>
      </c>
      <c r="B170" t="s">
        <v>72</v>
      </c>
      <c r="C170" t="s">
        <v>52</v>
      </c>
      <c r="D170" t="s">
        <v>182</v>
      </c>
      <c r="E170" t="s">
        <v>75</v>
      </c>
      <c r="F170" s="171">
        <v>5636</v>
      </c>
    </row>
    <row r="171" spans="1:8" hidden="1" x14ac:dyDescent="0.25">
      <c r="A171" t="s">
        <v>71</v>
      </c>
      <c r="B171" t="s">
        <v>77</v>
      </c>
      <c r="C171" t="s">
        <v>52</v>
      </c>
      <c r="D171" t="s">
        <v>73</v>
      </c>
      <c r="E171" t="s">
        <v>75</v>
      </c>
      <c r="F171" s="171">
        <v>40337</v>
      </c>
      <c r="G171" s="171">
        <v>5042</v>
      </c>
      <c r="H171">
        <v>8</v>
      </c>
    </row>
    <row r="172" spans="1:8" hidden="1" x14ac:dyDescent="0.25">
      <c r="A172" t="s">
        <v>71</v>
      </c>
      <c r="B172" t="s">
        <v>77</v>
      </c>
      <c r="C172" t="s">
        <v>52</v>
      </c>
      <c r="D172" t="s">
        <v>80</v>
      </c>
      <c r="E172" t="s">
        <v>75</v>
      </c>
      <c r="F172" s="171">
        <v>1163</v>
      </c>
      <c r="G172" s="171">
        <v>1163</v>
      </c>
      <c r="H172">
        <v>1</v>
      </c>
    </row>
    <row r="173" spans="1:8" hidden="1" x14ac:dyDescent="0.25">
      <c r="A173" t="s">
        <v>71</v>
      </c>
      <c r="B173" t="s">
        <v>77</v>
      </c>
      <c r="C173" t="s">
        <v>52</v>
      </c>
      <c r="D173" t="s">
        <v>82</v>
      </c>
      <c r="E173" t="s">
        <v>75</v>
      </c>
      <c r="F173" s="171">
        <v>51393</v>
      </c>
      <c r="G173" s="171">
        <v>4283</v>
      </c>
      <c r="H173">
        <v>12</v>
      </c>
    </row>
    <row r="174" spans="1:8" hidden="1" x14ac:dyDescent="0.25">
      <c r="A174" t="s">
        <v>71</v>
      </c>
      <c r="B174" t="s">
        <v>77</v>
      </c>
      <c r="C174" t="s">
        <v>52</v>
      </c>
      <c r="D174" t="s">
        <v>84</v>
      </c>
      <c r="E174" t="s">
        <v>75</v>
      </c>
      <c r="F174" s="171">
        <v>73979</v>
      </c>
      <c r="G174" s="171">
        <v>5691</v>
      </c>
      <c r="H174">
        <v>13</v>
      </c>
    </row>
    <row r="175" spans="1:8" hidden="1" x14ac:dyDescent="0.25">
      <c r="A175" t="s">
        <v>71</v>
      </c>
      <c r="B175" t="s">
        <v>77</v>
      </c>
      <c r="C175" t="s">
        <v>52</v>
      </c>
      <c r="D175" t="s">
        <v>86</v>
      </c>
      <c r="E175" t="s">
        <v>75</v>
      </c>
      <c r="F175" s="171">
        <v>778915</v>
      </c>
      <c r="G175" s="171">
        <v>14162</v>
      </c>
      <c r="H175">
        <v>55</v>
      </c>
    </row>
    <row r="176" spans="1:8" hidden="1" x14ac:dyDescent="0.25">
      <c r="A176" t="s">
        <v>71</v>
      </c>
      <c r="B176" t="s">
        <v>77</v>
      </c>
      <c r="C176" t="s">
        <v>52</v>
      </c>
      <c r="D176" t="s">
        <v>89</v>
      </c>
      <c r="E176" t="s">
        <v>75</v>
      </c>
      <c r="F176" s="171">
        <v>351801</v>
      </c>
      <c r="G176" s="171">
        <v>4290</v>
      </c>
      <c r="H176">
        <v>82</v>
      </c>
    </row>
    <row r="177" spans="1:8" hidden="1" x14ac:dyDescent="0.25">
      <c r="A177" t="s">
        <v>71</v>
      </c>
      <c r="B177" t="s">
        <v>77</v>
      </c>
      <c r="C177" t="s">
        <v>52</v>
      </c>
      <c r="D177" t="s">
        <v>91</v>
      </c>
      <c r="E177" t="s">
        <v>75</v>
      </c>
      <c r="F177" s="171">
        <v>1940396</v>
      </c>
      <c r="G177" s="171">
        <v>7952</v>
      </c>
      <c r="H177">
        <v>244</v>
      </c>
    </row>
    <row r="178" spans="1:8" hidden="1" x14ac:dyDescent="0.25">
      <c r="A178" t="s">
        <v>71</v>
      </c>
      <c r="B178" t="s">
        <v>77</v>
      </c>
      <c r="C178" t="s">
        <v>52</v>
      </c>
      <c r="D178" t="s">
        <v>100</v>
      </c>
      <c r="E178" t="s">
        <v>75</v>
      </c>
      <c r="F178" s="171">
        <v>1572736</v>
      </c>
      <c r="G178" s="171">
        <v>7349</v>
      </c>
      <c r="H178">
        <v>214</v>
      </c>
    </row>
    <row r="179" spans="1:8" hidden="1" x14ac:dyDescent="0.25">
      <c r="A179" t="s">
        <v>71</v>
      </c>
      <c r="B179" t="s">
        <v>77</v>
      </c>
      <c r="C179" t="s">
        <v>52</v>
      </c>
      <c r="D179" t="s">
        <v>101</v>
      </c>
      <c r="E179" t="s">
        <v>75</v>
      </c>
      <c r="F179" s="171">
        <v>133839</v>
      </c>
      <c r="G179" s="171">
        <v>4615</v>
      </c>
      <c r="H179">
        <v>29</v>
      </c>
    </row>
    <row r="180" spans="1:8" hidden="1" x14ac:dyDescent="0.25">
      <c r="A180" t="s">
        <v>71</v>
      </c>
      <c r="B180" t="s">
        <v>77</v>
      </c>
      <c r="C180" t="s">
        <v>52</v>
      </c>
      <c r="D180" t="s">
        <v>102</v>
      </c>
      <c r="E180" t="s">
        <v>75</v>
      </c>
      <c r="F180" s="171">
        <v>7263197</v>
      </c>
      <c r="G180" s="171">
        <v>7613</v>
      </c>
      <c r="H180">
        <v>954</v>
      </c>
    </row>
    <row r="181" spans="1:8" hidden="1" x14ac:dyDescent="0.25">
      <c r="A181" t="s">
        <v>71</v>
      </c>
      <c r="B181" t="s">
        <v>77</v>
      </c>
      <c r="C181" t="s">
        <v>52</v>
      </c>
      <c r="D181" t="s">
        <v>107</v>
      </c>
      <c r="E181" t="s">
        <v>75</v>
      </c>
      <c r="F181" s="171">
        <v>1611090</v>
      </c>
      <c r="G181" s="171">
        <v>12587</v>
      </c>
      <c r="H181">
        <v>128</v>
      </c>
    </row>
    <row r="182" spans="1:8" hidden="1" x14ac:dyDescent="0.25">
      <c r="A182" t="s">
        <v>71</v>
      </c>
      <c r="B182" t="s">
        <v>77</v>
      </c>
      <c r="C182" t="s">
        <v>52</v>
      </c>
      <c r="D182" t="s">
        <v>115</v>
      </c>
      <c r="E182" t="s">
        <v>75</v>
      </c>
      <c r="F182" s="171">
        <v>516929</v>
      </c>
      <c r="G182" s="171">
        <v>16154</v>
      </c>
      <c r="H182">
        <v>32</v>
      </c>
    </row>
    <row r="183" spans="1:8" hidden="1" x14ac:dyDescent="0.25">
      <c r="A183" t="s">
        <v>71</v>
      </c>
      <c r="B183" t="s">
        <v>77</v>
      </c>
      <c r="C183" t="s">
        <v>52</v>
      </c>
      <c r="D183" t="s">
        <v>119</v>
      </c>
      <c r="E183" t="s">
        <v>75</v>
      </c>
      <c r="F183" s="171">
        <v>4668807</v>
      </c>
      <c r="G183" s="171">
        <v>7967</v>
      </c>
      <c r="H183">
        <v>586</v>
      </c>
    </row>
    <row r="184" spans="1:8" hidden="1" x14ac:dyDescent="0.25">
      <c r="A184" t="s">
        <v>71</v>
      </c>
      <c r="B184" t="s">
        <v>77</v>
      </c>
      <c r="C184" t="s">
        <v>52</v>
      </c>
      <c r="D184" t="s">
        <v>121</v>
      </c>
      <c r="E184" t="s">
        <v>75</v>
      </c>
      <c r="F184" s="171">
        <v>5394586</v>
      </c>
      <c r="G184" s="171">
        <v>9826</v>
      </c>
      <c r="H184">
        <v>549</v>
      </c>
    </row>
    <row r="185" spans="1:8" hidden="1" x14ac:dyDescent="0.25">
      <c r="A185" t="s">
        <v>71</v>
      </c>
      <c r="B185" t="s">
        <v>77</v>
      </c>
      <c r="C185" t="s">
        <v>52</v>
      </c>
      <c r="D185" t="s">
        <v>125</v>
      </c>
      <c r="E185" t="s">
        <v>75</v>
      </c>
      <c r="F185" s="171">
        <v>12246295</v>
      </c>
      <c r="G185" s="171">
        <v>25198</v>
      </c>
      <c r="H185">
        <v>486</v>
      </c>
    </row>
    <row r="186" spans="1:8" hidden="1" x14ac:dyDescent="0.25">
      <c r="A186" t="s">
        <v>71</v>
      </c>
      <c r="B186" t="s">
        <v>77</v>
      </c>
      <c r="C186" t="s">
        <v>52</v>
      </c>
      <c r="D186" t="s">
        <v>128</v>
      </c>
      <c r="E186" t="s">
        <v>75</v>
      </c>
      <c r="F186" s="171">
        <v>229384</v>
      </c>
      <c r="G186" s="171">
        <v>5213</v>
      </c>
      <c r="H186">
        <v>44</v>
      </c>
    </row>
    <row r="187" spans="1:8" hidden="1" x14ac:dyDescent="0.25">
      <c r="A187" t="s">
        <v>71</v>
      </c>
      <c r="B187" t="s">
        <v>77</v>
      </c>
      <c r="C187" t="s">
        <v>52</v>
      </c>
      <c r="D187" t="s">
        <v>130</v>
      </c>
      <c r="E187" t="s">
        <v>75</v>
      </c>
      <c r="F187" s="171">
        <v>82164</v>
      </c>
      <c r="G187" s="171">
        <v>6847</v>
      </c>
      <c r="H187">
        <v>12</v>
      </c>
    </row>
    <row r="188" spans="1:8" hidden="1" x14ac:dyDescent="0.25">
      <c r="A188" t="s">
        <v>71</v>
      </c>
      <c r="B188" t="s">
        <v>77</v>
      </c>
      <c r="C188" t="s">
        <v>52</v>
      </c>
      <c r="D188" t="s">
        <v>132</v>
      </c>
      <c r="E188" t="s">
        <v>75</v>
      </c>
      <c r="F188" s="171">
        <v>3587</v>
      </c>
      <c r="G188" s="171">
        <v>3587</v>
      </c>
      <c r="H188">
        <v>1</v>
      </c>
    </row>
    <row r="189" spans="1:8" hidden="1" x14ac:dyDescent="0.25">
      <c r="A189" t="s">
        <v>71</v>
      </c>
      <c r="B189" t="s">
        <v>77</v>
      </c>
      <c r="C189" t="s">
        <v>52</v>
      </c>
      <c r="D189" t="s">
        <v>133</v>
      </c>
      <c r="E189" t="s">
        <v>75</v>
      </c>
      <c r="F189" s="171">
        <v>1220178</v>
      </c>
      <c r="G189" s="171">
        <v>8301</v>
      </c>
      <c r="H189">
        <v>147</v>
      </c>
    </row>
    <row r="190" spans="1:8" hidden="1" x14ac:dyDescent="0.25">
      <c r="A190" t="s">
        <v>71</v>
      </c>
      <c r="B190" t="s">
        <v>77</v>
      </c>
      <c r="C190" t="s">
        <v>52</v>
      </c>
      <c r="D190" t="s">
        <v>138</v>
      </c>
      <c r="E190" t="s">
        <v>75</v>
      </c>
      <c r="F190" s="171">
        <v>2271020</v>
      </c>
      <c r="G190" s="171">
        <v>9874</v>
      </c>
      <c r="H190">
        <v>230</v>
      </c>
    </row>
    <row r="191" spans="1:8" hidden="1" x14ac:dyDescent="0.25">
      <c r="A191" t="s">
        <v>71</v>
      </c>
      <c r="B191" t="s">
        <v>77</v>
      </c>
      <c r="C191" t="s">
        <v>52</v>
      </c>
      <c r="D191" t="s">
        <v>140</v>
      </c>
      <c r="E191" t="s">
        <v>75</v>
      </c>
      <c r="F191" s="171">
        <v>112165</v>
      </c>
      <c r="G191" s="171">
        <v>8628</v>
      </c>
      <c r="H191">
        <v>13</v>
      </c>
    </row>
    <row r="192" spans="1:8" hidden="1" x14ac:dyDescent="0.25">
      <c r="A192" t="s">
        <v>71</v>
      </c>
      <c r="B192" t="s">
        <v>77</v>
      </c>
      <c r="C192" t="s">
        <v>52</v>
      </c>
      <c r="D192" t="s">
        <v>147</v>
      </c>
      <c r="E192" t="s">
        <v>75</v>
      </c>
      <c r="F192" s="171">
        <v>122187</v>
      </c>
      <c r="G192" s="171">
        <v>3818</v>
      </c>
      <c r="H192">
        <v>32</v>
      </c>
    </row>
    <row r="193" spans="1:8" hidden="1" x14ac:dyDescent="0.25">
      <c r="A193" t="s">
        <v>71</v>
      </c>
      <c r="B193" t="s">
        <v>77</v>
      </c>
      <c r="C193" t="s">
        <v>52</v>
      </c>
      <c r="D193" t="s">
        <v>148</v>
      </c>
      <c r="E193" t="s">
        <v>75</v>
      </c>
      <c r="F193" s="171">
        <v>47022</v>
      </c>
      <c r="G193" s="171">
        <v>9404</v>
      </c>
      <c r="H193">
        <v>5</v>
      </c>
    </row>
    <row r="194" spans="1:8" hidden="1" x14ac:dyDescent="0.25">
      <c r="A194" t="s">
        <v>71</v>
      </c>
      <c r="B194" t="s">
        <v>77</v>
      </c>
      <c r="C194" t="s">
        <v>52</v>
      </c>
      <c r="D194" t="s">
        <v>156</v>
      </c>
      <c r="E194" t="s">
        <v>75</v>
      </c>
      <c r="F194" s="171">
        <v>23361367</v>
      </c>
      <c r="G194" s="171">
        <v>21772</v>
      </c>
      <c r="H194">
        <v>1073</v>
      </c>
    </row>
    <row r="195" spans="1:8" hidden="1" x14ac:dyDescent="0.25">
      <c r="A195" t="s">
        <v>71</v>
      </c>
      <c r="B195" t="s">
        <v>77</v>
      </c>
      <c r="C195" t="s">
        <v>52</v>
      </c>
      <c r="D195" t="s">
        <v>160</v>
      </c>
      <c r="E195" t="s">
        <v>75</v>
      </c>
      <c r="F195" s="171">
        <v>5483321</v>
      </c>
      <c r="G195" s="171">
        <v>11920</v>
      </c>
      <c r="H195">
        <v>460</v>
      </c>
    </row>
    <row r="196" spans="1:8" hidden="1" x14ac:dyDescent="0.25">
      <c r="A196" t="s">
        <v>71</v>
      </c>
      <c r="B196" t="s">
        <v>77</v>
      </c>
      <c r="C196" t="s">
        <v>52</v>
      </c>
      <c r="D196" t="s">
        <v>164</v>
      </c>
      <c r="E196" t="s">
        <v>75</v>
      </c>
      <c r="F196" s="171">
        <v>1145201</v>
      </c>
      <c r="G196" s="171">
        <v>7248</v>
      </c>
      <c r="H196">
        <v>158</v>
      </c>
    </row>
    <row r="197" spans="1:8" hidden="1" x14ac:dyDescent="0.25">
      <c r="A197" t="s">
        <v>71</v>
      </c>
      <c r="B197" t="s">
        <v>77</v>
      </c>
      <c r="C197" t="s">
        <v>52</v>
      </c>
      <c r="D197" t="s">
        <v>167</v>
      </c>
      <c r="E197" t="s">
        <v>75</v>
      </c>
      <c r="F197" s="171">
        <v>1663678</v>
      </c>
      <c r="G197" s="171">
        <v>8277</v>
      </c>
      <c r="H197">
        <v>201</v>
      </c>
    </row>
    <row r="198" spans="1:8" hidden="1" x14ac:dyDescent="0.25">
      <c r="A198" t="s">
        <v>71</v>
      </c>
      <c r="B198" t="s">
        <v>77</v>
      </c>
      <c r="C198" t="s">
        <v>52</v>
      </c>
      <c r="D198" t="s">
        <v>168</v>
      </c>
      <c r="E198" t="s">
        <v>75</v>
      </c>
      <c r="F198" s="171">
        <v>332816</v>
      </c>
      <c r="G198" s="171">
        <v>4160</v>
      </c>
      <c r="H198">
        <v>80</v>
      </c>
    </row>
    <row r="199" spans="1:8" hidden="1" x14ac:dyDescent="0.25">
      <c r="A199" t="s">
        <v>71</v>
      </c>
      <c r="B199" t="s">
        <v>77</v>
      </c>
      <c r="C199" t="s">
        <v>52</v>
      </c>
      <c r="D199" t="s">
        <v>179</v>
      </c>
      <c r="E199" t="s">
        <v>75</v>
      </c>
      <c r="F199" s="171">
        <v>3277390</v>
      </c>
      <c r="G199" s="171">
        <v>17620</v>
      </c>
      <c r="H199">
        <v>186</v>
      </c>
    </row>
    <row r="200" spans="1:8" hidden="1" x14ac:dyDescent="0.25">
      <c r="A200" t="s">
        <v>71</v>
      </c>
      <c r="B200" t="s">
        <v>77</v>
      </c>
      <c r="C200" t="s">
        <v>52</v>
      </c>
      <c r="D200" t="s">
        <v>182</v>
      </c>
      <c r="E200" t="s">
        <v>75</v>
      </c>
      <c r="F200" s="171">
        <v>5312</v>
      </c>
      <c r="G200" s="171">
        <v>5312</v>
      </c>
      <c r="H200">
        <v>1</v>
      </c>
    </row>
    <row r="201" spans="1:8" hidden="1" x14ac:dyDescent="0.25">
      <c r="A201" t="s">
        <v>186</v>
      </c>
      <c r="B201" t="s">
        <v>190</v>
      </c>
      <c r="C201" t="s">
        <v>110</v>
      </c>
      <c r="D201" t="s">
        <v>111</v>
      </c>
      <c r="E201" t="s">
        <v>75</v>
      </c>
      <c r="F201" s="171">
        <v>14378678</v>
      </c>
      <c r="G201" s="171">
        <v>8207</v>
      </c>
      <c r="H201">
        <v>1752</v>
      </c>
    </row>
    <row r="202" spans="1:8" hidden="1" x14ac:dyDescent="0.25">
      <c r="A202" t="s">
        <v>186</v>
      </c>
      <c r="B202" t="s">
        <v>187</v>
      </c>
      <c r="C202" t="s">
        <v>110</v>
      </c>
      <c r="D202" t="s">
        <v>111</v>
      </c>
      <c r="E202" t="s">
        <v>75</v>
      </c>
      <c r="F202" s="171">
        <v>14626217</v>
      </c>
      <c r="G202" s="171">
        <v>8420</v>
      </c>
      <c r="H202">
        <v>1737</v>
      </c>
    </row>
    <row r="203" spans="1:8" hidden="1" x14ac:dyDescent="0.25">
      <c r="A203" t="s">
        <v>186</v>
      </c>
      <c r="B203" t="s">
        <v>188</v>
      </c>
      <c r="C203" t="s">
        <v>110</v>
      </c>
      <c r="D203" t="s">
        <v>111</v>
      </c>
      <c r="E203" t="s">
        <v>75</v>
      </c>
      <c r="F203" s="171">
        <v>13402564</v>
      </c>
      <c r="G203" s="171">
        <v>7870</v>
      </c>
      <c r="H203">
        <v>1703</v>
      </c>
    </row>
    <row r="204" spans="1:8" hidden="1" x14ac:dyDescent="0.25">
      <c r="A204" t="s">
        <v>186</v>
      </c>
      <c r="B204" t="s">
        <v>189</v>
      </c>
      <c r="C204" t="s">
        <v>110</v>
      </c>
      <c r="D204" t="s">
        <v>111</v>
      </c>
      <c r="E204" t="s">
        <v>75</v>
      </c>
      <c r="F204" s="171">
        <v>16892232</v>
      </c>
      <c r="G204" s="171">
        <v>8976</v>
      </c>
      <c r="H204">
        <v>1882</v>
      </c>
    </row>
    <row r="205" spans="1:8" hidden="1" x14ac:dyDescent="0.25">
      <c r="A205" t="s">
        <v>71</v>
      </c>
      <c r="B205" t="s">
        <v>76</v>
      </c>
      <c r="C205" t="s">
        <v>110</v>
      </c>
      <c r="D205" t="s">
        <v>111</v>
      </c>
      <c r="E205" t="s">
        <v>75</v>
      </c>
      <c r="F205" s="171">
        <v>15868216</v>
      </c>
      <c r="G205" s="171">
        <v>8648</v>
      </c>
      <c r="H205">
        <v>1835</v>
      </c>
    </row>
    <row r="206" spans="1:8" hidden="1" x14ac:dyDescent="0.25">
      <c r="A206" t="s">
        <v>71</v>
      </c>
      <c r="B206" t="s">
        <v>72</v>
      </c>
      <c r="C206" t="s">
        <v>110</v>
      </c>
      <c r="D206" t="s">
        <v>111</v>
      </c>
      <c r="E206" t="s">
        <v>75</v>
      </c>
      <c r="F206" s="171">
        <v>16398533</v>
      </c>
      <c r="G206" s="171">
        <v>9085</v>
      </c>
      <c r="H206">
        <v>1805</v>
      </c>
    </row>
    <row r="207" spans="1:8" hidden="1" x14ac:dyDescent="0.25">
      <c r="A207" t="s">
        <v>71</v>
      </c>
      <c r="B207" t="s">
        <v>77</v>
      </c>
      <c r="C207" t="s">
        <v>110</v>
      </c>
      <c r="D207" t="s">
        <v>111</v>
      </c>
      <c r="E207" t="s">
        <v>75</v>
      </c>
      <c r="F207" s="171">
        <v>15816468</v>
      </c>
      <c r="G207" s="171">
        <v>8926</v>
      </c>
      <c r="H207">
        <v>1772</v>
      </c>
    </row>
    <row r="208" spans="1:8" hidden="1" x14ac:dyDescent="0.25">
      <c r="A208" t="s">
        <v>186</v>
      </c>
      <c r="B208" t="s">
        <v>190</v>
      </c>
      <c r="C208" t="s">
        <v>116</v>
      </c>
      <c r="D208" t="s">
        <v>117</v>
      </c>
      <c r="E208" t="s">
        <v>75</v>
      </c>
      <c r="F208" s="171">
        <v>16521129</v>
      </c>
      <c r="G208" s="171">
        <v>12738</v>
      </c>
      <c r="H208">
        <v>1297</v>
      </c>
    </row>
    <row r="209" spans="1:8" hidden="1" x14ac:dyDescent="0.25">
      <c r="A209" t="s">
        <v>186</v>
      </c>
      <c r="B209" t="s">
        <v>187</v>
      </c>
      <c r="C209" t="s">
        <v>116</v>
      </c>
      <c r="D209" t="s">
        <v>117</v>
      </c>
      <c r="E209" t="s">
        <v>75</v>
      </c>
      <c r="F209" s="171">
        <v>16836822</v>
      </c>
      <c r="G209" s="171">
        <v>13268</v>
      </c>
      <c r="H209">
        <v>1269</v>
      </c>
    </row>
    <row r="210" spans="1:8" hidden="1" x14ac:dyDescent="0.25">
      <c r="A210" t="s">
        <v>186</v>
      </c>
      <c r="B210" t="s">
        <v>188</v>
      </c>
      <c r="C210" t="s">
        <v>116</v>
      </c>
      <c r="D210" t="s">
        <v>117</v>
      </c>
      <c r="E210" t="s">
        <v>75</v>
      </c>
      <c r="F210" s="171">
        <v>17719267</v>
      </c>
      <c r="G210" s="171">
        <v>13800</v>
      </c>
      <c r="H210">
        <v>1284</v>
      </c>
    </row>
    <row r="211" spans="1:8" hidden="1" x14ac:dyDescent="0.25">
      <c r="A211" t="s">
        <v>186</v>
      </c>
      <c r="B211" t="s">
        <v>189</v>
      </c>
      <c r="C211" t="s">
        <v>116</v>
      </c>
      <c r="D211" t="s">
        <v>117</v>
      </c>
      <c r="E211" t="s">
        <v>75</v>
      </c>
      <c r="F211" s="171">
        <v>20583922</v>
      </c>
      <c r="G211" s="171">
        <v>14745</v>
      </c>
      <c r="H211">
        <v>1396</v>
      </c>
    </row>
    <row r="212" spans="1:8" hidden="1" x14ac:dyDescent="0.25">
      <c r="A212" t="s">
        <v>71</v>
      </c>
      <c r="B212" t="s">
        <v>76</v>
      </c>
      <c r="C212" t="s">
        <v>116</v>
      </c>
      <c r="D212" t="s">
        <v>117</v>
      </c>
      <c r="E212" t="s">
        <v>75</v>
      </c>
      <c r="F212" s="171">
        <v>16529349</v>
      </c>
      <c r="G212" s="171">
        <v>12754</v>
      </c>
      <c r="H212">
        <v>1296</v>
      </c>
    </row>
    <row r="213" spans="1:8" hidden="1" x14ac:dyDescent="0.25">
      <c r="A213" t="s">
        <v>71</v>
      </c>
      <c r="B213" t="s">
        <v>72</v>
      </c>
      <c r="C213" t="s">
        <v>116</v>
      </c>
      <c r="D213" t="s">
        <v>117</v>
      </c>
      <c r="E213" t="s">
        <v>75</v>
      </c>
      <c r="F213" s="171">
        <v>16181299</v>
      </c>
      <c r="G213" s="171">
        <v>12873</v>
      </c>
      <c r="H213">
        <v>1257</v>
      </c>
    </row>
    <row r="214" spans="1:8" hidden="1" x14ac:dyDescent="0.25">
      <c r="A214" t="s">
        <v>71</v>
      </c>
      <c r="B214" t="s">
        <v>77</v>
      </c>
      <c r="C214" t="s">
        <v>116</v>
      </c>
      <c r="D214" t="s">
        <v>117</v>
      </c>
      <c r="E214" t="s">
        <v>75</v>
      </c>
      <c r="F214" s="171">
        <v>20109062</v>
      </c>
      <c r="G214" s="171">
        <v>15871</v>
      </c>
      <c r="H214">
        <v>1267</v>
      </c>
    </row>
    <row r="215" spans="1:8" hidden="1" x14ac:dyDescent="0.25">
      <c r="A215" t="s">
        <v>186</v>
      </c>
      <c r="B215" t="s">
        <v>190</v>
      </c>
      <c r="C215" t="s">
        <v>55</v>
      </c>
      <c r="D215" t="s">
        <v>126</v>
      </c>
      <c r="E215" t="s">
        <v>75</v>
      </c>
      <c r="F215" s="171">
        <v>22745093</v>
      </c>
      <c r="G215" s="171">
        <v>9138</v>
      </c>
      <c r="H215">
        <v>2489</v>
      </c>
    </row>
    <row r="216" spans="1:8" hidden="1" x14ac:dyDescent="0.25">
      <c r="A216" t="s">
        <v>186</v>
      </c>
      <c r="B216" t="s">
        <v>187</v>
      </c>
      <c r="C216" t="s">
        <v>55</v>
      </c>
      <c r="D216" t="s">
        <v>126</v>
      </c>
      <c r="E216" t="s">
        <v>75</v>
      </c>
      <c r="F216" s="171">
        <v>23163653</v>
      </c>
      <c r="G216" s="171">
        <v>8801</v>
      </c>
      <c r="H216">
        <v>2632</v>
      </c>
    </row>
    <row r="217" spans="1:8" hidden="1" x14ac:dyDescent="0.25">
      <c r="A217" t="s">
        <v>186</v>
      </c>
      <c r="B217" t="s">
        <v>188</v>
      </c>
      <c r="C217" t="s">
        <v>55</v>
      </c>
      <c r="D217" t="s">
        <v>126</v>
      </c>
      <c r="E217" t="s">
        <v>75</v>
      </c>
      <c r="F217" s="171">
        <v>22270406</v>
      </c>
      <c r="G217" s="171">
        <v>8579</v>
      </c>
      <c r="H217">
        <v>2596</v>
      </c>
    </row>
    <row r="218" spans="1:8" hidden="1" x14ac:dyDescent="0.25">
      <c r="A218" t="s">
        <v>186</v>
      </c>
      <c r="B218" t="s">
        <v>189</v>
      </c>
      <c r="C218" t="s">
        <v>55</v>
      </c>
      <c r="D218" t="s">
        <v>126</v>
      </c>
      <c r="E218" t="s">
        <v>75</v>
      </c>
      <c r="F218" s="171">
        <v>29883791</v>
      </c>
      <c r="G218" s="171">
        <v>10185</v>
      </c>
      <c r="H218">
        <v>2934</v>
      </c>
    </row>
    <row r="219" spans="1:8" hidden="1" x14ac:dyDescent="0.25">
      <c r="A219" t="s">
        <v>71</v>
      </c>
      <c r="B219" t="s">
        <v>76</v>
      </c>
      <c r="C219" t="s">
        <v>55</v>
      </c>
      <c r="D219" t="s">
        <v>126</v>
      </c>
      <c r="E219" t="s">
        <v>75</v>
      </c>
      <c r="F219" s="171">
        <v>25569201</v>
      </c>
      <c r="G219" s="171">
        <v>9161</v>
      </c>
      <c r="H219">
        <v>2791</v>
      </c>
    </row>
    <row r="220" spans="1:8" hidden="1" x14ac:dyDescent="0.25">
      <c r="A220" t="s">
        <v>71</v>
      </c>
      <c r="B220" t="s">
        <v>72</v>
      </c>
      <c r="C220" t="s">
        <v>55</v>
      </c>
      <c r="D220" t="s">
        <v>126</v>
      </c>
      <c r="E220" t="s">
        <v>75</v>
      </c>
      <c r="F220" s="171">
        <v>22553463</v>
      </c>
      <c r="G220" s="171">
        <v>8240</v>
      </c>
      <c r="H220">
        <v>2737</v>
      </c>
    </row>
    <row r="221" spans="1:8" hidden="1" x14ac:dyDescent="0.25">
      <c r="A221" t="s">
        <v>71</v>
      </c>
      <c r="B221" t="s">
        <v>77</v>
      </c>
      <c r="C221" t="s">
        <v>55</v>
      </c>
      <c r="D221" t="s">
        <v>126</v>
      </c>
      <c r="E221" t="s">
        <v>75</v>
      </c>
      <c r="F221" s="171">
        <v>22828360</v>
      </c>
      <c r="G221" s="171">
        <v>8667</v>
      </c>
      <c r="H221">
        <v>2634</v>
      </c>
    </row>
    <row r="222" spans="1:8" hidden="1" x14ac:dyDescent="0.25">
      <c r="A222" t="s">
        <v>186</v>
      </c>
      <c r="B222" t="s">
        <v>190</v>
      </c>
      <c r="C222" t="s">
        <v>78</v>
      </c>
      <c r="D222" t="s">
        <v>79</v>
      </c>
      <c r="E222" t="s">
        <v>75</v>
      </c>
      <c r="F222" s="171">
        <v>816052</v>
      </c>
      <c r="G222" s="171">
        <v>116579</v>
      </c>
      <c r="H222">
        <v>7</v>
      </c>
    </row>
    <row r="223" spans="1:8" hidden="1" x14ac:dyDescent="0.25">
      <c r="A223" t="s">
        <v>186</v>
      </c>
      <c r="B223" t="s">
        <v>190</v>
      </c>
      <c r="C223" t="s">
        <v>78</v>
      </c>
      <c r="D223" t="s">
        <v>85</v>
      </c>
      <c r="E223" t="s">
        <v>75</v>
      </c>
      <c r="F223" s="171">
        <v>81080</v>
      </c>
      <c r="G223" s="171">
        <v>13513</v>
      </c>
      <c r="H223">
        <v>6</v>
      </c>
    </row>
    <row r="224" spans="1:8" hidden="1" x14ac:dyDescent="0.25">
      <c r="A224" t="s">
        <v>186</v>
      </c>
      <c r="B224" t="s">
        <v>190</v>
      </c>
      <c r="C224" t="s">
        <v>78</v>
      </c>
      <c r="D224" t="s">
        <v>88</v>
      </c>
      <c r="E224" t="s">
        <v>75</v>
      </c>
      <c r="F224" s="171">
        <v>1002</v>
      </c>
      <c r="G224" s="171">
        <v>501</v>
      </c>
      <c r="H224">
        <v>2</v>
      </c>
    </row>
    <row r="225" spans="1:8" hidden="1" x14ac:dyDescent="0.25">
      <c r="A225" t="s">
        <v>186</v>
      </c>
      <c r="B225" t="s">
        <v>190</v>
      </c>
      <c r="C225" t="s">
        <v>78</v>
      </c>
      <c r="D225" t="s">
        <v>90</v>
      </c>
      <c r="E225" t="s">
        <v>75</v>
      </c>
      <c r="F225" s="171">
        <v>146925</v>
      </c>
      <c r="G225" s="171">
        <v>6122</v>
      </c>
      <c r="H225">
        <v>24</v>
      </c>
    </row>
    <row r="226" spans="1:8" hidden="1" x14ac:dyDescent="0.25">
      <c r="A226" t="s">
        <v>186</v>
      </c>
      <c r="B226" t="s">
        <v>190</v>
      </c>
      <c r="C226" t="s">
        <v>78</v>
      </c>
      <c r="D226" t="s">
        <v>93</v>
      </c>
      <c r="E226" t="s">
        <v>75</v>
      </c>
      <c r="F226" s="171">
        <v>21947</v>
      </c>
      <c r="G226" s="171">
        <v>3658</v>
      </c>
      <c r="H226">
        <v>6</v>
      </c>
    </row>
    <row r="227" spans="1:8" hidden="1" x14ac:dyDescent="0.25">
      <c r="A227" t="s">
        <v>186</v>
      </c>
      <c r="B227" t="s">
        <v>190</v>
      </c>
      <c r="C227" t="s">
        <v>78</v>
      </c>
      <c r="D227" t="s">
        <v>97</v>
      </c>
      <c r="E227" t="s">
        <v>75</v>
      </c>
      <c r="F227" s="171">
        <v>26224</v>
      </c>
      <c r="G227" s="171">
        <v>26224</v>
      </c>
      <c r="H227">
        <v>1</v>
      </c>
    </row>
    <row r="228" spans="1:8" hidden="1" x14ac:dyDescent="0.25">
      <c r="A228" t="s">
        <v>186</v>
      </c>
      <c r="B228" t="s">
        <v>190</v>
      </c>
      <c r="C228" t="s">
        <v>78</v>
      </c>
      <c r="D228" t="s">
        <v>98</v>
      </c>
      <c r="E228" t="s">
        <v>75</v>
      </c>
      <c r="F228" s="171">
        <v>104383</v>
      </c>
      <c r="G228" s="171">
        <v>26096</v>
      </c>
      <c r="H228">
        <v>4</v>
      </c>
    </row>
    <row r="229" spans="1:8" hidden="1" x14ac:dyDescent="0.25">
      <c r="A229" t="s">
        <v>186</v>
      </c>
      <c r="B229" t="s">
        <v>190</v>
      </c>
      <c r="C229" t="s">
        <v>78</v>
      </c>
      <c r="D229" t="s">
        <v>99</v>
      </c>
      <c r="E229" t="s">
        <v>75</v>
      </c>
      <c r="F229" s="171">
        <v>885989</v>
      </c>
      <c r="G229" s="171">
        <v>68153</v>
      </c>
      <c r="H229">
        <v>13</v>
      </c>
    </row>
    <row r="230" spans="1:8" hidden="1" x14ac:dyDescent="0.25">
      <c r="A230" t="s">
        <v>186</v>
      </c>
      <c r="B230" t="s">
        <v>190</v>
      </c>
      <c r="C230" t="s">
        <v>78</v>
      </c>
      <c r="D230" t="s">
        <v>104</v>
      </c>
      <c r="E230" t="s">
        <v>75</v>
      </c>
      <c r="F230" s="171">
        <v>1328</v>
      </c>
      <c r="G230" s="171">
        <v>1328</v>
      </c>
      <c r="H230">
        <v>1</v>
      </c>
    </row>
    <row r="231" spans="1:8" hidden="1" x14ac:dyDescent="0.25">
      <c r="A231" t="s">
        <v>186</v>
      </c>
      <c r="B231" t="s">
        <v>190</v>
      </c>
      <c r="C231" t="s">
        <v>78</v>
      </c>
      <c r="D231" t="s">
        <v>105</v>
      </c>
      <c r="E231" t="s">
        <v>75</v>
      </c>
      <c r="F231" s="171">
        <v>2655862</v>
      </c>
      <c r="G231" s="171">
        <v>27380</v>
      </c>
      <c r="H231">
        <v>97</v>
      </c>
    </row>
    <row r="232" spans="1:8" hidden="1" x14ac:dyDescent="0.25">
      <c r="A232" t="s">
        <v>186</v>
      </c>
      <c r="B232" t="s">
        <v>190</v>
      </c>
      <c r="C232" t="s">
        <v>78</v>
      </c>
      <c r="D232" t="s">
        <v>108</v>
      </c>
      <c r="E232" t="s">
        <v>75</v>
      </c>
      <c r="F232" s="171">
        <v>1177012</v>
      </c>
      <c r="G232" s="171">
        <v>196169</v>
      </c>
      <c r="H232">
        <v>6</v>
      </c>
    </row>
    <row r="233" spans="1:8" hidden="1" x14ac:dyDescent="0.25">
      <c r="A233" t="s">
        <v>186</v>
      </c>
      <c r="B233" t="s">
        <v>190</v>
      </c>
      <c r="C233" t="s">
        <v>78</v>
      </c>
      <c r="D233" t="s">
        <v>113</v>
      </c>
      <c r="E233" t="s">
        <v>75</v>
      </c>
      <c r="F233" s="171">
        <v>5994</v>
      </c>
      <c r="G233" s="171">
        <v>2997</v>
      </c>
      <c r="H233">
        <v>2</v>
      </c>
    </row>
    <row r="234" spans="1:8" hidden="1" x14ac:dyDescent="0.25">
      <c r="A234" t="s">
        <v>186</v>
      </c>
      <c r="B234" t="s">
        <v>190</v>
      </c>
      <c r="C234" t="s">
        <v>78</v>
      </c>
      <c r="D234" t="s">
        <v>114</v>
      </c>
      <c r="E234" t="s">
        <v>75</v>
      </c>
      <c r="F234" s="171">
        <v>11362</v>
      </c>
      <c r="G234" s="171">
        <v>11362</v>
      </c>
      <c r="H234">
        <v>1</v>
      </c>
    </row>
    <row r="235" spans="1:8" hidden="1" x14ac:dyDescent="0.25">
      <c r="A235" t="s">
        <v>186</v>
      </c>
      <c r="B235" t="s">
        <v>190</v>
      </c>
      <c r="C235" t="s">
        <v>78</v>
      </c>
      <c r="D235" t="s">
        <v>118</v>
      </c>
      <c r="E235" t="s">
        <v>75</v>
      </c>
      <c r="F235" s="171">
        <v>1216901</v>
      </c>
      <c r="G235" s="171">
        <v>173843</v>
      </c>
      <c r="H235">
        <v>7</v>
      </c>
    </row>
    <row r="236" spans="1:8" hidden="1" x14ac:dyDescent="0.25">
      <c r="A236" t="s">
        <v>186</v>
      </c>
      <c r="B236" t="s">
        <v>190</v>
      </c>
      <c r="C236" t="s">
        <v>78</v>
      </c>
      <c r="D236" t="s">
        <v>120</v>
      </c>
      <c r="E236" t="s">
        <v>75</v>
      </c>
      <c r="F236" s="171">
        <v>3150</v>
      </c>
      <c r="G236" s="171">
        <v>1575</v>
      </c>
      <c r="H236">
        <v>2</v>
      </c>
    </row>
    <row r="237" spans="1:8" hidden="1" x14ac:dyDescent="0.25">
      <c r="A237" t="s">
        <v>186</v>
      </c>
      <c r="B237" t="s">
        <v>190</v>
      </c>
      <c r="C237" t="s">
        <v>78</v>
      </c>
      <c r="D237" t="s">
        <v>127</v>
      </c>
      <c r="E237" t="s">
        <v>75</v>
      </c>
      <c r="F237" s="171">
        <v>281045</v>
      </c>
      <c r="G237" s="171">
        <v>93682</v>
      </c>
      <c r="H237">
        <v>3</v>
      </c>
    </row>
    <row r="238" spans="1:8" hidden="1" x14ac:dyDescent="0.25">
      <c r="A238" t="s">
        <v>186</v>
      </c>
      <c r="B238" t="s">
        <v>190</v>
      </c>
      <c r="C238" t="s">
        <v>78</v>
      </c>
      <c r="D238" t="s">
        <v>129</v>
      </c>
      <c r="E238" t="s">
        <v>75</v>
      </c>
      <c r="F238" s="171">
        <v>1052282</v>
      </c>
      <c r="G238" s="171">
        <v>21475</v>
      </c>
      <c r="H238">
        <v>49</v>
      </c>
    </row>
    <row r="239" spans="1:8" hidden="1" x14ac:dyDescent="0.25">
      <c r="A239" t="s">
        <v>186</v>
      </c>
      <c r="B239" t="s">
        <v>190</v>
      </c>
      <c r="C239" t="s">
        <v>78</v>
      </c>
      <c r="D239" t="s">
        <v>131</v>
      </c>
      <c r="E239" t="s">
        <v>75</v>
      </c>
      <c r="F239" s="171">
        <v>719230</v>
      </c>
      <c r="G239" s="171">
        <v>42308</v>
      </c>
      <c r="H239">
        <v>17</v>
      </c>
    </row>
    <row r="240" spans="1:8" hidden="1" x14ac:dyDescent="0.25">
      <c r="A240" t="s">
        <v>186</v>
      </c>
      <c r="B240" t="s">
        <v>190</v>
      </c>
      <c r="C240" t="s">
        <v>78</v>
      </c>
      <c r="D240" t="s">
        <v>134</v>
      </c>
      <c r="E240" t="s">
        <v>75</v>
      </c>
      <c r="F240" s="171">
        <v>2690</v>
      </c>
    </row>
    <row r="241" spans="1:8" hidden="1" x14ac:dyDescent="0.25">
      <c r="A241" t="s">
        <v>186</v>
      </c>
      <c r="B241" t="s">
        <v>190</v>
      </c>
      <c r="C241" t="s">
        <v>78</v>
      </c>
      <c r="D241" t="s">
        <v>135</v>
      </c>
      <c r="E241" t="s">
        <v>75</v>
      </c>
      <c r="F241" s="171">
        <v>35945</v>
      </c>
      <c r="G241" s="171">
        <v>5991</v>
      </c>
      <c r="H241">
        <v>6</v>
      </c>
    </row>
    <row r="242" spans="1:8" hidden="1" x14ac:dyDescent="0.25">
      <c r="A242" t="s">
        <v>186</v>
      </c>
      <c r="B242" t="s">
        <v>190</v>
      </c>
      <c r="C242" t="s">
        <v>78</v>
      </c>
      <c r="D242" t="s">
        <v>137</v>
      </c>
      <c r="E242" t="s">
        <v>75</v>
      </c>
      <c r="F242" s="171">
        <v>1701495</v>
      </c>
      <c r="G242" s="171">
        <v>243071</v>
      </c>
      <c r="H242">
        <v>7</v>
      </c>
    </row>
    <row r="243" spans="1:8" hidden="1" x14ac:dyDescent="0.25">
      <c r="A243" t="s">
        <v>186</v>
      </c>
      <c r="B243" t="s">
        <v>190</v>
      </c>
      <c r="C243" t="s">
        <v>78</v>
      </c>
      <c r="D243" t="s">
        <v>141</v>
      </c>
      <c r="E243" t="s">
        <v>75</v>
      </c>
      <c r="F243" s="171">
        <v>12398</v>
      </c>
      <c r="G243" s="171">
        <v>12398</v>
      </c>
      <c r="H243">
        <v>1</v>
      </c>
    </row>
    <row r="244" spans="1:8" hidden="1" x14ac:dyDescent="0.25">
      <c r="A244" t="s">
        <v>186</v>
      </c>
      <c r="B244" t="s">
        <v>190</v>
      </c>
      <c r="C244" t="s">
        <v>78</v>
      </c>
      <c r="D244" t="s">
        <v>143</v>
      </c>
      <c r="E244" t="s">
        <v>75</v>
      </c>
      <c r="F244" s="171">
        <v>29291</v>
      </c>
      <c r="G244" s="171">
        <v>14646</v>
      </c>
      <c r="H244">
        <v>2</v>
      </c>
    </row>
    <row r="245" spans="1:8" hidden="1" x14ac:dyDescent="0.25">
      <c r="A245" t="s">
        <v>186</v>
      </c>
      <c r="B245" t="s">
        <v>190</v>
      </c>
      <c r="C245" t="s">
        <v>78</v>
      </c>
      <c r="D245" t="s">
        <v>145</v>
      </c>
      <c r="E245" t="s">
        <v>75</v>
      </c>
      <c r="F245" s="171">
        <v>79544</v>
      </c>
      <c r="G245" s="171">
        <v>6629</v>
      </c>
      <c r="H245">
        <v>12</v>
      </c>
    </row>
    <row r="246" spans="1:8" hidden="1" x14ac:dyDescent="0.25">
      <c r="A246" t="s">
        <v>186</v>
      </c>
      <c r="B246" t="s">
        <v>190</v>
      </c>
      <c r="C246" t="s">
        <v>78</v>
      </c>
      <c r="D246" t="s">
        <v>149</v>
      </c>
      <c r="E246" t="s">
        <v>75</v>
      </c>
      <c r="F246" s="171">
        <v>2019046</v>
      </c>
      <c r="G246" s="171">
        <v>10683</v>
      </c>
      <c r="H246">
        <v>189</v>
      </c>
    </row>
    <row r="247" spans="1:8" hidden="1" x14ac:dyDescent="0.25">
      <c r="A247" t="s">
        <v>186</v>
      </c>
      <c r="B247" t="s">
        <v>190</v>
      </c>
      <c r="C247" t="s">
        <v>78</v>
      </c>
      <c r="D247" t="s">
        <v>150</v>
      </c>
      <c r="E247" t="s">
        <v>75</v>
      </c>
      <c r="F247" s="171">
        <v>21504</v>
      </c>
      <c r="G247" s="171">
        <v>3584</v>
      </c>
      <c r="H247">
        <v>6</v>
      </c>
    </row>
    <row r="248" spans="1:8" hidden="1" x14ac:dyDescent="0.25">
      <c r="A248" t="s">
        <v>186</v>
      </c>
      <c r="B248" t="s">
        <v>190</v>
      </c>
      <c r="C248" t="s">
        <v>78</v>
      </c>
      <c r="D248" t="s">
        <v>151</v>
      </c>
      <c r="E248" t="s">
        <v>75</v>
      </c>
      <c r="F248" s="171">
        <v>205751</v>
      </c>
      <c r="G248" s="171">
        <v>7620</v>
      </c>
      <c r="H248">
        <v>27</v>
      </c>
    </row>
    <row r="249" spans="1:8" hidden="1" x14ac:dyDescent="0.25">
      <c r="A249" t="s">
        <v>186</v>
      </c>
      <c r="B249" t="s">
        <v>190</v>
      </c>
      <c r="C249" t="s">
        <v>78</v>
      </c>
      <c r="D249" t="s">
        <v>153</v>
      </c>
      <c r="E249" t="s">
        <v>75</v>
      </c>
      <c r="F249" s="171">
        <v>181903</v>
      </c>
      <c r="G249" s="171">
        <v>16537</v>
      </c>
      <c r="H249">
        <v>11</v>
      </c>
    </row>
    <row r="250" spans="1:8" hidden="1" x14ac:dyDescent="0.25">
      <c r="A250" t="s">
        <v>186</v>
      </c>
      <c r="B250" t="s">
        <v>190</v>
      </c>
      <c r="C250" t="s">
        <v>78</v>
      </c>
      <c r="D250" t="s">
        <v>155</v>
      </c>
      <c r="E250" t="s">
        <v>75</v>
      </c>
      <c r="F250" s="171">
        <v>382284</v>
      </c>
      <c r="G250" s="171">
        <v>23893</v>
      </c>
      <c r="H250">
        <v>16</v>
      </c>
    </row>
    <row r="251" spans="1:8" hidden="1" x14ac:dyDescent="0.25">
      <c r="A251" t="s">
        <v>186</v>
      </c>
      <c r="B251" t="s">
        <v>190</v>
      </c>
      <c r="C251" t="s">
        <v>78</v>
      </c>
      <c r="D251" t="s">
        <v>158</v>
      </c>
      <c r="E251" t="s">
        <v>75</v>
      </c>
      <c r="F251" s="171">
        <v>1091930</v>
      </c>
      <c r="G251" s="171">
        <v>109193</v>
      </c>
      <c r="H251">
        <v>10</v>
      </c>
    </row>
    <row r="252" spans="1:8" hidden="1" x14ac:dyDescent="0.25">
      <c r="A252" t="s">
        <v>186</v>
      </c>
      <c r="B252" t="s">
        <v>190</v>
      </c>
      <c r="C252" t="s">
        <v>78</v>
      </c>
      <c r="D252" t="s">
        <v>159</v>
      </c>
      <c r="E252" t="s">
        <v>75</v>
      </c>
      <c r="F252" s="171">
        <v>6316</v>
      </c>
      <c r="G252" s="171">
        <v>1579</v>
      </c>
      <c r="H252">
        <v>4</v>
      </c>
    </row>
    <row r="253" spans="1:8" hidden="1" x14ac:dyDescent="0.25">
      <c r="A253" t="s">
        <v>186</v>
      </c>
      <c r="B253" t="s">
        <v>190</v>
      </c>
      <c r="C253" t="s">
        <v>78</v>
      </c>
      <c r="D253" t="s">
        <v>162</v>
      </c>
      <c r="E253" t="s">
        <v>75</v>
      </c>
      <c r="F253" s="171">
        <v>16969636</v>
      </c>
      <c r="G253" s="171">
        <v>106727</v>
      </c>
      <c r="H253">
        <v>159</v>
      </c>
    </row>
    <row r="254" spans="1:8" hidden="1" x14ac:dyDescent="0.25">
      <c r="A254" t="s">
        <v>186</v>
      </c>
      <c r="B254" t="s">
        <v>190</v>
      </c>
      <c r="C254" t="s">
        <v>78</v>
      </c>
      <c r="D254" t="s">
        <v>166</v>
      </c>
      <c r="E254" t="s">
        <v>75</v>
      </c>
      <c r="F254" s="171">
        <v>5769</v>
      </c>
      <c r="G254" s="171">
        <v>5769</v>
      </c>
      <c r="H254">
        <v>1</v>
      </c>
    </row>
    <row r="255" spans="1:8" hidden="1" x14ac:dyDescent="0.25">
      <c r="A255" t="s">
        <v>186</v>
      </c>
      <c r="B255" t="s">
        <v>190</v>
      </c>
      <c r="C255" t="s">
        <v>78</v>
      </c>
      <c r="D255" t="s">
        <v>169</v>
      </c>
      <c r="E255" t="s">
        <v>75</v>
      </c>
      <c r="F255" s="171">
        <v>17011213</v>
      </c>
      <c r="G255" s="171">
        <v>16710</v>
      </c>
      <c r="H255">
        <v>1018</v>
      </c>
    </row>
    <row r="256" spans="1:8" hidden="1" x14ac:dyDescent="0.25">
      <c r="A256" t="s">
        <v>186</v>
      </c>
      <c r="B256" t="s">
        <v>190</v>
      </c>
      <c r="C256" t="s">
        <v>78</v>
      </c>
      <c r="D256" t="s">
        <v>171</v>
      </c>
      <c r="E256" t="s">
        <v>75</v>
      </c>
      <c r="F256" s="171">
        <v>122516</v>
      </c>
      <c r="G256" s="171">
        <v>24503</v>
      </c>
      <c r="H256">
        <v>5</v>
      </c>
    </row>
    <row r="257" spans="1:8" hidden="1" x14ac:dyDescent="0.25">
      <c r="A257" t="s">
        <v>186</v>
      </c>
      <c r="B257" t="s">
        <v>190</v>
      </c>
      <c r="C257" t="s">
        <v>78</v>
      </c>
      <c r="D257" t="s">
        <v>174</v>
      </c>
      <c r="E257" t="s">
        <v>75</v>
      </c>
      <c r="F257" s="171">
        <v>1219940</v>
      </c>
      <c r="G257" s="171">
        <v>32104</v>
      </c>
      <c r="H257">
        <v>38</v>
      </c>
    </row>
    <row r="258" spans="1:8" hidden="1" x14ac:dyDescent="0.25">
      <c r="A258" t="s">
        <v>186</v>
      </c>
      <c r="B258" t="s">
        <v>190</v>
      </c>
      <c r="C258" t="s">
        <v>78</v>
      </c>
      <c r="D258" t="s">
        <v>175</v>
      </c>
      <c r="E258" t="s">
        <v>75</v>
      </c>
      <c r="F258" s="171">
        <v>2212</v>
      </c>
      <c r="G258" s="171">
        <v>1106</v>
      </c>
      <c r="H258">
        <v>2</v>
      </c>
    </row>
    <row r="259" spans="1:8" hidden="1" x14ac:dyDescent="0.25">
      <c r="A259" t="s">
        <v>186</v>
      </c>
      <c r="B259" t="s">
        <v>190</v>
      </c>
      <c r="C259" t="s">
        <v>78</v>
      </c>
      <c r="D259" t="s">
        <v>176</v>
      </c>
      <c r="E259" t="s">
        <v>75</v>
      </c>
      <c r="F259" s="171">
        <v>1591799</v>
      </c>
      <c r="G259" s="171">
        <v>11791</v>
      </c>
      <c r="H259">
        <v>135</v>
      </c>
    </row>
    <row r="260" spans="1:8" hidden="1" x14ac:dyDescent="0.25">
      <c r="A260" t="s">
        <v>186</v>
      </c>
      <c r="B260" t="s">
        <v>190</v>
      </c>
      <c r="C260" t="s">
        <v>78</v>
      </c>
      <c r="D260" t="s">
        <v>177</v>
      </c>
      <c r="E260" t="s">
        <v>75</v>
      </c>
      <c r="F260" s="171">
        <v>7741099</v>
      </c>
      <c r="G260" s="171">
        <v>13010</v>
      </c>
      <c r="H260">
        <v>595</v>
      </c>
    </row>
    <row r="261" spans="1:8" hidden="1" x14ac:dyDescent="0.25">
      <c r="A261" t="s">
        <v>186</v>
      </c>
      <c r="B261" t="s">
        <v>190</v>
      </c>
      <c r="C261" t="s">
        <v>78</v>
      </c>
      <c r="D261" t="s">
        <v>178</v>
      </c>
      <c r="E261" t="s">
        <v>75</v>
      </c>
      <c r="F261" s="171">
        <v>1002888</v>
      </c>
      <c r="G261" s="171">
        <v>23323</v>
      </c>
      <c r="H261">
        <v>43</v>
      </c>
    </row>
    <row r="262" spans="1:8" hidden="1" x14ac:dyDescent="0.25">
      <c r="A262" t="s">
        <v>186</v>
      </c>
      <c r="B262" t="s">
        <v>190</v>
      </c>
      <c r="C262" t="s">
        <v>78</v>
      </c>
      <c r="D262" t="s">
        <v>180</v>
      </c>
      <c r="E262" t="s">
        <v>75</v>
      </c>
      <c r="F262" s="171">
        <v>12759289</v>
      </c>
      <c r="G262" s="171">
        <v>82318</v>
      </c>
      <c r="H262">
        <v>155</v>
      </c>
    </row>
    <row r="263" spans="1:8" hidden="1" x14ac:dyDescent="0.25">
      <c r="A263" t="s">
        <v>186</v>
      </c>
      <c r="B263" t="s">
        <v>190</v>
      </c>
      <c r="C263" t="s">
        <v>78</v>
      </c>
      <c r="D263" t="s">
        <v>184</v>
      </c>
      <c r="E263" t="s">
        <v>75</v>
      </c>
      <c r="F263" s="171">
        <v>4276</v>
      </c>
      <c r="G263" s="171">
        <v>2138</v>
      </c>
      <c r="H263">
        <v>2</v>
      </c>
    </row>
    <row r="264" spans="1:8" hidden="1" x14ac:dyDescent="0.25">
      <c r="A264" t="s">
        <v>186</v>
      </c>
      <c r="B264" t="s">
        <v>190</v>
      </c>
      <c r="C264" t="s">
        <v>78</v>
      </c>
      <c r="D264" t="s">
        <v>185</v>
      </c>
      <c r="E264" t="s">
        <v>75</v>
      </c>
      <c r="F264" s="171">
        <v>122437</v>
      </c>
      <c r="G264" s="171">
        <v>20406</v>
      </c>
      <c r="H264">
        <v>6</v>
      </c>
    </row>
    <row r="265" spans="1:8" hidden="1" x14ac:dyDescent="0.25">
      <c r="A265" t="s">
        <v>186</v>
      </c>
      <c r="B265" t="s">
        <v>187</v>
      </c>
      <c r="C265" t="s">
        <v>78</v>
      </c>
      <c r="D265" t="s">
        <v>79</v>
      </c>
      <c r="E265" t="s">
        <v>75</v>
      </c>
      <c r="F265" s="171">
        <v>2727828</v>
      </c>
      <c r="G265" s="171">
        <v>209833</v>
      </c>
      <c r="H265">
        <v>13</v>
      </c>
    </row>
    <row r="266" spans="1:8" hidden="1" x14ac:dyDescent="0.25">
      <c r="A266" t="s">
        <v>186</v>
      </c>
      <c r="B266" t="s">
        <v>187</v>
      </c>
      <c r="C266" t="s">
        <v>78</v>
      </c>
      <c r="D266" t="s">
        <v>85</v>
      </c>
      <c r="E266" t="s">
        <v>75</v>
      </c>
      <c r="F266" s="171">
        <v>167573</v>
      </c>
      <c r="G266" s="171">
        <v>18619</v>
      </c>
      <c r="H266">
        <v>9</v>
      </c>
    </row>
    <row r="267" spans="1:8" hidden="1" x14ac:dyDescent="0.25">
      <c r="A267" t="s">
        <v>186</v>
      </c>
      <c r="B267" t="s">
        <v>187</v>
      </c>
      <c r="C267" t="s">
        <v>78</v>
      </c>
      <c r="D267" t="s">
        <v>90</v>
      </c>
      <c r="E267" t="s">
        <v>75</v>
      </c>
      <c r="F267" s="171">
        <v>216216</v>
      </c>
      <c r="G267" s="171">
        <v>8008</v>
      </c>
      <c r="H267">
        <v>27</v>
      </c>
    </row>
    <row r="268" spans="1:8" hidden="1" x14ac:dyDescent="0.25">
      <c r="A268" t="s">
        <v>186</v>
      </c>
      <c r="B268" t="s">
        <v>187</v>
      </c>
      <c r="C268" t="s">
        <v>78</v>
      </c>
      <c r="D268" t="s">
        <v>92</v>
      </c>
      <c r="E268" t="s">
        <v>75</v>
      </c>
      <c r="F268" s="171">
        <v>21</v>
      </c>
      <c r="G268" s="171">
        <v>21</v>
      </c>
      <c r="H268">
        <v>1</v>
      </c>
    </row>
    <row r="269" spans="1:8" hidden="1" x14ac:dyDescent="0.25">
      <c r="A269" t="s">
        <v>186</v>
      </c>
      <c r="B269" t="s">
        <v>187</v>
      </c>
      <c r="C269" t="s">
        <v>78</v>
      </c>
      <c r="D269" t="s">
        <v>93</v>
      </c>
      <c r="E269" t="s">
        <v>75</v>
      </c>
      <c r="F269" s="171">
        <v>26166</v>
      </c>
      <c r="G269" s="171">
        <v>3738</v>
      </c>
      <c r="H269">
        <v>7</v>
      </c>
    </row>
    <row r="270" spans="1:8" hidden="1" x14ac:dyDescent="0.25">
      <c r="A270" t="s">
        <v>186</v>
      </c>
      <c r="B270" t="s">
        <v>187</v>
      </c>
      <c r="C270" t="s">
        <v>78</v>
      </c>
      <c r="D270" t="s">
        <v>97</v>
      </c>
      <c r="E270" t="s">
        <v>75</v>
      </c>
      <c r="F270" s="171">
        <v>17798</v>
      </c>
      <c r="G270" s="171">
        <v>8899</v>
      </c>
      <c r="H270">
        <v>2</v>
      </c>
    </row>
    <row r="271" spans="1:8" hidden="1" x14ac:dyDescent="0.25">
      <c r="A271" t="s">
        <v>186</v>
      </c>
      <c r="B271" t="s">
        <v>187</v>
      </c>
      <c r="C271" t="s">
        <v>78</v>
      </c>
      <c r="D271" t="s">
        <v>98</v>
      </c>
      <c r="E271" t="s">
        <v>75</v>
      </c>
      <c r="F271" s="171">
        <v>25087</v>
      </c>
      <c r="G271" s="171">
        <v>8362</v>
      </c>
      <c r="H271">
        <v>3</v>
      </c>
    </row>
    <row r="272" spans="1:8" hidden="1" x14ac:dyDescent="0.25">
      <c r="A272" t="s">
        <v>186</v>
      </c>
      <c r="B272" t="s">
        <v>187</v>
      </c>
      <c r="C272" t="s">
        <v>78</v>
      </c>
      <c r="D272" t="s">
        <v>99</v>
      </c>
      <c r="E272" t="s">
        <v>75</v>
      </c>
      <c r="F272" s="171">
        <v>269200</v>
      </c>
      <c r="G272" s="171">
        <v>14168</v>
      </c>
      <c r="H272">
        <v>19</v>
      </c>
    </row>
    <row r="273" spans="1:8" hidden="1" x14ac:dyDescent="0.25">
      <c r="A273" t="s">
        <v>186</v>
      </c>
      <c r="B273" t="s">
        <v>187</v>
      </c>
      <c r="C273" t="s">
        <v>78</v>
      </c>
      <c r="D273" t="s">
        <v>104</v>
      </c>
      <c r="E273" t="s">
        <v>75</v>
      </c>
      <c r="F273" s="171">
        <v>3151</v>
      </c>
      <c r="G273" s="171">
        <v>3151</v>
      </c>
      <c r="H273">
        <v>1</v>
      </c>
    </row>
    <row r="274" spans="1:8" hidden="1" x14ac:dyDescent="0.25">
      <c r="A274" t="s">
        <v>186</v>
      </c>
      <c r="B274" t="s">
        <v>187</v>
      </c>
      <c r="C274" t="s">
        <v>78</v>
      </c>
      <c r="D274" t="s">
        <v>105</v>
      </c>
      <c r="E274" t="s">
        <v>75</v>
      </c>
      <c r="F274" s="171">
        <v>1936825</v>
      </c>
      <c r="G274" s="171">
        <v>19368</v>
      </c>
      <c r="H274">
        <v>100</v>
      </c>
    </row>
    <row r="275" spans="1:8" hidden="1" x14ac:dyDescent="0.25">
      <c r="A275" t="s">
        <v>186</v>
      </c>
      <c r="B275" t="s">
        <v>187</v>
      </c>
      <c r="C275" t="s">
        <v>78</v>
      </c>
      <c r="D275" t="s">
        <v>108</v>
      </c>
      <c r="E275" t="s">
        <v>75</v>
      </c>
      <c r="F275" s="171">
        <v>1204366</v>
      </c>
      <c r="G275" s="171">
        <v>401455</v>
      </c>
      <c r="H275">
        <v>3</v>
      </c>
    </row>
    <row r="276" spans="1:8" hidden="1" x14ac:dyDescent="0.25">
      <c r="A276" t="s">
        <v>186</v>
      </c>
      <c r="B276" t="s">
        <v>187</v>
      </c>
      <c r="C276" t="s">
        <v>78</v>
      </c>
      <c r="D276" t="s">
        <v>112</v>
      </c>
      <c r="E276" t="s">
        <v>75</v>
      </c>
      <c r="F276" s="171">
        <v>136</v>
      </c>
      <c r="G276" s="171">
        <v>136</v>
      </c>
      <c r="H276">
        <v>1</v>
      </c>
    </row>
    <row r="277" spans="1:8" hidden="1" x14ac:dyDescent="0.25">
      <c r="A277" t="s">
        <v>186</v>
      </c>
      <c r="B277" t="s">
        <v>187</v>
      </c>
      <c r="C277" t="s">
        <v>78</v>
      </c>
      <c r="D277" t="s">
        <v>113</v>
      </c>
      <c r="E277" t="s">
        <v>75</v>
      </c>
      <c r="F277" s="171">
        <v>12500</v>
      </c>
      <c r="G277" s="171">
        <v>12500</v>
      </c>
      <c r="H277">
        <v>1</v>
      </c>
    </row>
    <row r="278" spans="1:8" hidden="1" x14ac:dyDescent="0.25">
      <c r="A278" t="s">
        <v>186</v>
      </c>
      <c r="B278" t="s">
        <v>187</v>
      </c>
      <c r="C278" t="s">
        <v>78</v>
      </c>
      <c r="D278" t="s">
        <v>118</v>
      </c>
      <c r="E278" t="s">
        <v>75</v>
      </c>
      <c r="F278" s="171">
        <v>517973</v>
      </c>
      <c r="G278" s="171">
        <v>73996</v>
      </c>
      <c r="H278">
        <v>7</v>
      </c>
    </row>
    <row r="279" spans="1:8" hidden="1" x14ac:dyDescent="0.25">
      <c r="A279" t="s">
        <v>186</v>
      </c>
      <c r="B279" t="s">
        <v>187</v>
      </c>
      <c r="C279" t="s">
        <v>78</v>
      </c>
      <c r="D279" t="s">
        <v>120</v>
      </c>
      <c r="E279" t="s">
        <v>75</v>
      </c>
      <c r="F279" s="171">
        <v>4388</v>
      </c>
      <c r="G279" s="171">
        <v>2194</v>
      </c>
      <c r="H279">
        <v>2</v>
      </c>
    </row>
    <row r="280" spans="1:8" hidden="1" x14ac:dyDescent="0.25">
      <c r="A280" t="s">
        <v>186</v>
      </c>
      <c r="B280" t="s">
        <v>187</v>
      </c>
      <c r="C280" t="s">
        <v>78</v>
      </c>
      <c r="D280" t="s">
        <v>127</v>
      </c>
      <c r="E280" t="s">
        <v>75</v>
      </c>
      <c r="F280" s="171">
        <v>26539</v>
      </c>
      <c r="G280" s="171">
        <v>26539</v>
      </c>
      <c r="H280">
        <v>1</v>
      </c>
    </row>
    <row r="281" spans="1:8" hidden="1" x14ac:dyDescent="0.25">
      <c r="A281" t="s">
        <v>186</v>
      </c>
      <c r="B281" t="s">
        <v>187</v>
      </c>
      <c r="C281" t="s">
        <v>78</v>
      </c>
      <c r="D281" t="s">
        <v>129</v>
      </c>
      <c r="E281" t="s">
        <v>75</v>
      </c>
      <c r="F281" s="171">
        <v>1213873</v>
      </c>
      <c r="G281" s="171">
        <v>24773</v>
      </c>
      <c r="H281">
        <v>49</v>
      </c>
    </row>
    <row r="282" spans="1:8" hidden="1" x14ac:dyDescent="0.25">
      <c r="A282" t="s">
        <v>186</v>
      </c>
      <c r="B282" t="s">
        <v>187</v>
      </c>
      <c r="C282" t="s">
        <v>78</v>
      </c>
      <c r="D282" t="s">
        <v>131</v>
      </c>
      <c r="E282" t="s">
        <v>75</v>
      </c>
      <c r="F282" s="171">
        <v>1202466</v>
      </c>
      <c r="G282" s="171">
        <v>66804</v>
      </c>
      <c r="H282">
        <v>18</v>
      </c>
    </row>
    <row r="283" spans="1:8" hidden="1" x14ac:dyDescent="0.25">
      <c r="A283" t="s">
        <v>186</v>
      </c>
      <c r="B283" t="s">
        <v>187</v>
      </c>
      <c r="C283" t="s">
        <v>78</v>
      </c>
      <c r="D283" t="s">
        <v>135</v>
      </c>
      <c r="E283" t="s">
        <v>75</v>
      </c>
      <c r="F283" s="171">
        <v>4931</v>
      </c>
      <c r="G283" s="171">
        <v>1233</v>
      </c>
      <c r="H283">
        <v>4</v>
      </c>
    </row>
    <row r="284" spans="1:8" hidden="1" x14ac:dyDescent="0.25">
      <c r="A284" t="s">
        <v>186</v>
      </c>
      <c r="B284" t="s">
        <v>187</v>
      </c>
      <c r="C284" t="s">
        <v>78</v>
      </c>
      <c r="D284" t="s">
        <v>136</v>
      </c>
      <c r="E284" t="s">
        <v>75</v>
      </c>
      <c r="F284" s="171">
        <v>3988</v>
      </c>
      <c r="G284" s="171">
        <v>3988</v>
      </c>
      <c r="H284">
        <v>1</v>
      </c>
    </row>
    <row r="285" spans="1:8" hidden="1" x14ac:dyDescent="0.25">
      <c r="A285" t="s">
        <v>186</v>
      </c>
      <c r="B285" t="s">
        <v>187</v>
      </c>
      <c r="C285" t="s">
        <v>78</v>
      </c>
      <c r="D285" t="s">
        <v>137</v>
      </c>
      <c r="E285" t="s">
        <v>75</v>
      </c>
      <c r="F285" s="171">
        <v>1062776</v>
      </c>
      <c r="G285" s="171">
        <v>212555</v>
      </c>
      <c r="H285">
        <v>5</v>
      </c>
    </row>
    <row r="286" spans="1:8" hidden="1" x14ac:dyDescent="0.25">
      <c r="A286" t="s">
        <v>186</v>
      </c>
      <c r="B286" t="s">
        <v>187</v>
      </c>
      <c r="C286" t="s">
        <v>78</v>
      </c>
      <c r="D286" t="s">
        <v>141</v>
      </c>
      <c r="E286" t="s">
        <v>75</v>
      </c>
      <c r="F286" s="171">
        <v>11410</v>
      </c>
      <c r="G286" s="171">
        <v>11410</v>
      </c>
      <c r="H286">
        <v>1</v>
      </c>
    </row>
    <row r="287" spans="1:8" hidden="1" x14ac:dyDescent="0.25">
      <c r="A287" t="s">
        <v>186</v>
      </c>
      <c r="B287" t="s">
        <v>187</v>
      </c>
      <c r="C287" t="s">
        <v>78</v>
      </c>
      <c r="D287" t="s">
        <v>142</v>
      </c>
      <c r="E287" t="s">
        <v>75</v>
      </c>
      <c r="F287" s="171">
        <v>188</v>
      </c>
      <c r="G287" s="171">
        <v>188</v>
      </c>
      <c r="H287">
        <v>1</v>
      </c>
    </row>
    <row r="288" spans="1:8" hidden="1" x14ac:dyDescent="0.25">
      <c r="A288" t="s">
        <v>186</v>
      </c>
      <c r="B288" t="s">
        <v>187</v>
      </c>
      <c r="C288" t="s">
        <v>78</v>
      </c>
      <c r="D288" t="s">
        <v>143</v>
      </c>
      <c r="E288" t="s">
        <v>75</v>
      </c>
      <c r="F288" s="171">
        <v>8124</v>
      </c>
      <c r="G288" s="171">
        <v>4062</v>
      </c>
      <c r="H288">
        <v>2</v>
      </c>
    </row>
    <row r="289" spans="1:8" hidden="1" x14ac:dyDescent="0.25">
      <c r="A289" t="s">
        <v>186</v>
      </c>
      <c r="B289" t="s">
        <v>187</v>
      </c>
      <c r="C289" t="s">
        <v>78</v>
      </c>
      <c r="D289" t="s">
        <v>145</v>
      </c>
      <c r="E289" t="s">
        <v>75</v>
      </c>
      <c r="F289" s="171">
        <v>2864</v>
      </c>
      <c r="G289" s="171">
        <v>573</v>
      </c>
      <c r="H289">
        <v>5</v>
      </c>
    </row>
    <row r="290" spans="1:8" hidden="1" x14ac:dyDescent="0.25">
      <c r="A290" t="s">
        <v>186</v>
      </c>
      <c r="B290" t="s">
        <v>187</v>
      </c>
      <c r="C290" t="s">
        <v>78</v>
      </c>
      <c r="D290" t="s">
        <v>149</v>
      </c>
      <c r="E290" t="s">
        <v>75</v>
      </c>
      <c r="F290" s="171">
        <v>1872648</v>
      </c>
      <c r="G290" s="171">
        <v>10887</v>
      </c>
      <c r="H290">
        <v>172</v>
      </c>
    </row>
    <row r="291" spans="1:8" hidden="1" x14ac:dyDescent="0.25">
      <c r="A291" t="s">
        <v>186</v>
      </c>
      <c r="B291" t="s">
        <v>187</v>
      </c>
      <c r="C291" t="s">
        <v>78</v>
      </c>
      <c r="D291" t="s">
        <v>150</v>
      </c>
      <c r="E291" t="s">
        <v>75</v>
      </c>
      <c r="F291" s="171">
        <v>14820</v>
      </c>
      <c r="G291" s="171">
        <v>2117</v>
      </c>
      <c r="H291">
        <v>7</v>
      </c>
    </row>
    <row r="292" spans="1:8" hidden="1" x14ac:dyDescent="0.25">
      <c r="A292" t="s">
        <v>186</v>
      </c>
      <c r="B292" t="s">
        <v>187</v>
      </c>
      <c r="C292" t="s">
        <v>78</v>
      </c>
      <c r="D292" t="s">
        <v>151</v>
      </c>
      <c r="E292" t="s">
        <v>75</v>
      </c>
      <c r="F292" s="171">
        <v>333545</v>
      </c>
      <c r="G292" s="171">
        <v>16677</v>
      </c>
      <c r="H292">
        <v>20</v>
      </c>
    </row>
    <row r="293" spans="1:8" hidden="1" x14ac:dyDescent="0.25">
      <c r="A293" t="s">
        <v>186</v>
      </c>
      <c r="B293" t="s">
        <v>187</v>
      </c>
      <c r="C293" t="s">
        <v>78</v>
      </c>
      <c r="D293" t="s">
        <v>153</v>
      </c>
      <c r="E293" t="s">
        <v>75</v>
      </c>
      <c r="F293" s="171">
        <v>408522</v>
      </c>
      <c r="G293" s="171">
        <v>81704</v>
      </c>
      <c r="H293">
        <v>5</v>
      </c>
    </row>
    <row r="294" spans="1:8" hidden="1" x14ac:dyDescent="0.25">
      <c r="A294" t="s">
        <v>186</v>
      </c>
      <c r="B294" t="s">
        <v>187</v>
      </c>
      <c r="C294" t="s">
        <v>78</v>
      </c>
      <c r="D294" t="s">
        <v>155</v>
      </c>
      <c r="E294" t="s">
        <v>75</v>
      </c>
      <c r="F294" s="171">
        <v>325876</v>
      </c>
      <c r="G294" s="171">
        <v>21725</v>
      </c>
      <c r="H294">
        <v>15</v>
      </c>
    </row>
    <row r="295" spans="1:8" hidden="1" x14ac:dyDescent="0.25">
      <c r="A295" t="s">
        <v>186</v>
      </c>
      <c r="B295" t="s">
        <v>187</v>
      </c>
      <c r="C295" t="s">
        <v>78</v>
      </c>
      <c r="D295" t="s">
        <v>158</v>
      </c>
      <c r="E295" t="s">
        <v>75</v>
      </c>
      <c r="F295" s="171">
        <v>663196</v>
      </c>
      <c r="G295" s="171">
        <v>66320</v>
      </c>
      <c r="H295">
        <v>10</v>
      </c>
    </row>
    <row r="296" spans="1:8" hidden="1" x14ac:dyDescent="0.25">
      <c r="A296" t="s">
        <v>186</v>
      </c>
      <c r="B296" t="s">
        <v>187</v>
      </c>
      <c r="C296" t="s">
        <v>78</v>
      </c>
      <c r="D296" t="s">
        <v>159</v>
      </c>
      <c r="E296" t="s">
        <v>75</v>
      </c>
      <c r="F296" s="171">
        <v>4096</v>
      </c>
      <c r="G296" s="171">
        <v>1365</v>
      </c>
      <c r="H296">
        <v>3</v>
      </c>
    </row>
    <row r="297" spans="1:8" hidden="1" x14ac:dyDescent="0.25">
      <c r="A297" t="s">
        <v>186</v>
      </c>
      <c r="B297" t="s">
        <v>187</v>
      </c>
      <c r="C297" t="s">
        <v>78</v>
      </c>
      <c r="D297" t="s">
        <v>162</v>
      </c>
      <c r="E297" t="s">
        <v>75</v>
      </c>
      <c r="F297" s="171">
        <v>9410896</v>
      </c>
      <c r="G297" s="171">
        <v>61110</v>
      </c>
      <c r="H297">
        <v>154</v>
      </c>
    </row>
    <row r="298" spans="1:8" hidden="1" x14ac:dyDescent="0.25">
      <c r="A298" t="s">
        <v>186</v>
      </c>
      <c r="B298" t="s">
        <v>187</v>
      </c>
      <c r="C298" t="s">
        <v>78</v>
      </c>
      <c r="D298" t="s">
        <v>163</v>
      </c>
      <c r="E298" t="s">
        <v>75</v>
      </c>
      <c r="F298" s="171">
        <v>6182</v>
      </c>
      <c r="G298" s="171">
        <v>6182</v>
      </c>
      <c r="H298">
        <v>1</v>
      </c>
    </row>
    <row r="299" spans="1:8" hidden="1" x14ac:dyDescent="0.25">
      <c r="A299" t="s">
        <v>186</v>
      </c>
      <c r="B299" t="s">
        <v>187</v>
      </c>
      <c r="C299" t="s">
        <v>78</v>
      </c>
      <c r="D299" t="s">
        <v>169</v>
      </c>
      <c r="E299" t="s">
        <v>75</v>
      </c>
      <c r="F299" s="171">
        <v>16072004</v>
      </c>
      <c r="G299" s="171">
        <v>15351</v>
      </c>
      <c r="H299">
        <v>1047</v>
      </c>
    </row>
    <row r="300" spans="1:8" hidden="1" x14ac:dyDescent="0.25">
      <c r="A300" t="s">
        <v>186</v>
      </c>
      <c r="B300" t="s">
        <v>187</v>
      </c>
      <c r="C300" t="s">
        <v>78</v>
      </c>
      <c r="D300" t="s">
        <v>171</v>
      </c>
      <c r="E300" t="s">
        <v>75</v>
      </c>
      <c r="F300" s="171">
        <v>27604</v>
      </c>
      <c r="G300" s="171">
        <v>5521</v>
      </c>
      <c r="H300">
        <v>5</v>
      </c>
    </row>
    <row r="301" spans="1:8" hidden="1" x14ac:dyDescent="0.25">
      <c r="A301" t="s">
        <v>186</v>
      </c>
      <c r="B301" t="s">
        <v>187</v>
      </c>
      <c r="C301" t="s">
        <v>78</v>
      </c>
      <c r="D301" t="s">
        <v>174</v>
      </c>
      <c r="E301" t="s">
        <v>75</v>
      </c>
      <c r="F301" s="171">
        <v>1604032</v>
      </c>
      <c r="G301" s="171">
        <v>44556</v>
      </c>
      <c r="H301">
        <v>36</v>
      </c>
    </row>
    <row r="302" spans="1:8" hidden="1" x14ac:dyDescent="0.25">
      <c r="A302" t="s">
        <v>186</v>
      </c>
      <c r="B302" t="s">
        <v>187</v>
      </c>
      <c r="C302" t="s">
        <v>78</v>
      </c>
      <c r="D302" t="s">
        <v>175</v>
      </c>
      <c r="E302" t="s">
        <v>75</v>
      </c>
      <c r="F302" s="171">
        <v>2306</v>
      </c>
      <c r="G302" s="171">
        <v>2306</v>
      </c>
      <c r="H302">
        <v>1</v>
      </c>
    </row>
    <row r="303" spans="1:8" hidden="1" x14ac:dyDescent="0.25">
      <c r="A303" t="s">
        <v>186</v>
      </c>
      <c r="B303" t="s">
        <v>187</v>
      </c>
      <c r="C303" t="s">
        <v>78</v>
      </c>
      <c r="D303" t="s">
        <v>176</v>
      </c>
      <c r="E303" t="s">
        <v>75</v>
      </c>
      <c r="F303" s="171">
        <v>1123672</v>
      </c>
      <c r="G303" s="171">
        <v>8386</v>
      </c>
      <c r="H303">
        <v>134</v>
      </c>
    </row>
    <row r="304" spans="1:8" hidden="1" x14ac:dyDescent="0.25">
      <c r="A304" t="s">
        <v>186</v>
      </c>
      <c r="B304" t="s">
        <v>187</v>
      </c>
      <c r="C304" t="s">
        <v>78</v>
      </c>
      <c r="D304" t="s">
        <v>177</v>
      </c>
      <c r="E304" t="s">
        <v>75</v>
      </c>
      <c r="F304" s="171">
        <v>9709813</v>
      </c>
      <c r="G304" s="171">
        <v>15267</v>
      </c>
      <c r="H304">
        <v>636</v>
      </c>
    </row>
    <row r="305" spans="1:8" hidden="1" x14ac:dyDescent="0.25">
      <c r="A305" t="s">
        <v>186</v>
      </c>
      <c r="B305" t="s">
        <v>187</v>
      </c>
      <c r="C305" t="s">
        <v>78</v>
      </c>
      <c r="D305" t="s">
        <v>178</v>
      </c>
      <c r="E305" t="s">
        <v>75</v>
      </c>
      <c r="F305" s="171">
        <v>861147</v>
      </c>
      <c r="G305" s="171">
        <v>25328</v>
      </c>
      <c r="H305">
        <v>34</v>
      </c>
    </row>
    <row r="306" spans="1:8" hidden="1" x14ac:dyDescent="0.25">
      <c r="A306" t="s">
        <v>186</v>
      </c>
      <c r="B306" t="s">
        <v>187</v>
      </c>
      <c r="C306" t="s">
        <v>78</v>
      </c>
      <c r="D306" t="s">
        <v>180</v>
      </c>
      <c r="E306" t="s">
        <v>75</v>
      </c>
      <c r="F306" s="171">
        <v>12604291</v>
      </c>
      <c r="G306" s="171">
        <v>78777</v>
      </c>
      <c r="H306">
        <v>160</v>
      </c>
    </row>
    <row r="307" spans="1:8" hidden="1" x14ac:dyDescent="0.25">
      <c r="A307" t="s">
        <v>186</v>
      </c>
      <c r="B307" t="s">
        <v>187</v>
      </c>
      <c r="C307" t="s">
        <v>78</v>
      </c>
      <c r="D307" t="s">
        <v>184</v>
      </c>
      <c r="E307" t="s">
        <v>75</v>
      </c>
      <c r="F307" s="171">
        <v>86857</v>
      </c>
      <c r="G307" s="171">
        <v>43429</v>
      </c>
      <c r="H307">
        <v>2</v>
      </c>
    </row>
    <row r="308" spans="1:8" hidden="1" x14ac:dyDescent="0.25">
      <c r="A308" t="s">
        <v>186</v>
      </c>
      <c r="B308" t="s">
        <v>187</v>
      </c>
      <c r="C308" t="s">
        <v>78</v>
      </c>
      <c r="D308" t="s">
        <v>185</v>
      </c>
      <c r="E308" t="s">
        <v>75</v>
      </c>
      <c r="F308" s="171">
        <v>141447</v>
      </c>
      <c r="G308" s="171">
        <v>14145</v>
      </c>
      <c r="H308">
        <v>10</v>
      </c>
    </row>
    <row r="309" spans="1:8" hidden="1" x14ac:dyDescent="0.25">
      <c r="A309" t="s">
        <v>186</v>
      </c>
      <c r="B309" t="s">
        <v>188</v>
      </c>
      <c r="C309" t="s">
        <v>78</v>
      </c>
      <c r="D309" t="s">
        <v>79</v>
      </c>
      <c r="E309" t="s">
        <v>75</v>
      </c>
      <c r="F309" s="171">
        <v>1695456</v>
      </c>
      <c r="G309" s="171">
        <v>188384</v>
      </c>
      <c r="H309">
        <v>9</v>
      </c>
    </row>
    <row r="310" spans="1:8" hidden="1" x14ac:dyDescent="0.25">
      <c r="A310" t="s">
        <v>186</v>
      </c>
      <c r="B310" t="s">
        <v>188</v>
      </c>
      <c r="C310" t="s">
        <v>78</v>
      </c>
      <c r="D310" t="s">
        <v>81</v>
      </c>
      <c r="E310" t="s">
        <v>75</v>
      </c>
      <c r="F310" s="171">
        <v>5735</v>
      </c>
    </row>
    <row r="311" spans="1:8" hidden="1" x14ac:dyDescent="0.25">
      <c r="A311" t="s">
        <v>186</v>
      </c>
      <c r="B311" t="s">
        <v>188</v>
      </c>
      <c r="C311" t="s">
        <v>78</v>
      </c>
      <c r="D311" t="s">
        <v>85</v>
      </c>
      <c r="E311" t="s">
        <v>75</v>
      </c>
      <c r="F311" s="171">
        <v>219764</v>
      </c>
      <c r="G311" s="171">
        <v>24418</v>
      </c>
      <c r="H311">
        <v>9</v>
      </c>
    </row>
    <row r="312" spans="1:8" hidden="1" x14ac:dyDescent="0.25">
      <c r="A312" t="s">
        <v>186</v>
      </c>
      <c r="B312" t="s">
        <v>188</v>
      </c>
      <c r="C312" t="s">
        <v>78</v>
      </c>
      <c r="D312" t="s">
        <v>88</v>
      </c>
      <c r="E312" t="s">
        <v>75</v>
      </c>
      <c r="F312" s="171">
        <v>2484</v>
      </c>
      <c r="G312" s="171">
        <v>2484</v>
      </c>
      <c r="H312">
        <v>1</v>
      </c>
    </row>
    <row r="313" spans="1:8" hidden="1" x14ac:dyDescent="0.25">
      <c r="A313" t="s">
        <v>186</v>
      </c>
      <c r="B313" t="s">
        <v>188</v>
      </c>
      <c r="C313" t="s">
        <v>78</v>
      </c>
      <c r="D313" t="s">
        <v>90</v>
      </c>
      <c r="E313" t="s">
        <v>75</v>
      </c>
      <c r="F313" s="171">
        <v>396740</v>
      </c>
      <c r="G313" s="171">
        <v>14169</v>
      </c>
      <c r="H313">
        <v>28</v>
      </c>
    </row>
    <row r="314" spans="1:8" hidden="1" x14ac:dyDescent="0.25">
      <c r="A314" t="s">
        <v>186</v>
      </c>
      <c r="B314" t="s">
        <v>188</v>
      </c>
      <c r="C314" t="s">
        <v>78</v>
      </c>
      <c r="D314" t="s">
        <v>93</v>
      </c>
      <c r="E314" t="s">
        <v>75</v>
      </c>
      <c r="F314" s="171">
        <v>30522</v>
      </c>
      <c r="G314" s="171">
        <v>3052</v>
      </c>
      <c r="H314">
        <v>10</v>
      </c>
    </row>
    <row r="315" spans="1:8" hidden="1" x14ac:dyDescent="0.25">
      <c r="A315" t="s">
        <v>186</v>
      </c>
      <c r="B315" t="s">
        <v>188</v>
      </c>
      <c r="C315" t="s">
        <v>78</v>
      </c>
      <c r="D315" t="s">
        <v>94</v>
      </c>
      <c r="E315" t="s">
        <v>75</v>
      </c>
      <c r="F315" s="171">
        <v>9480</v>
      </c>
      <c r="G315" s="171">
        <v>9480</v>
      </c>
      <c r="H315">
        <v>1</v>
      </c>
    </row>
    <row r="316" spans="1:8" hidden="1" x14ac:dyDescent="0.25">
      <c r="A316" t="s">
        <v>186</v>
      </c>
      <c r="B316" t="s">
        <v>188</v>
      </c>
      <c r="C316" t="s">
        <v>78</v>
      </c>
      <c r="D316" t="s">
        <v>97</v>
      </c>
      <c r="E316" t="s">
        <v>75</v>
      </c>
      <c r="F316" s="171">
        <v>1825</v>
      </c>
      <c r="G316" s="171">
        <v>1825</v>
      </c>
      <c r="H316">
        <v>1</v>
      </c>
    </row>
    <row r="317" spans="1:8" hidden="1" x14ac:dyDescent="0.25">
      <c r="A317" t="s">
        <v>186</v>
      </c>
      <c r="B317" t="s">
        <v>188</v>
      </c>
      <c r="C317" t="s">
        <v>78</v>
      </c>
      <c r="D317" t="s">
        <v>98</v>
      </c>
      <c r="E317" t="s">
        <v>75</v>
      </c>
      <c r="F317" s="171">
        <v>15730</v>
      </c>
      <c r="G317" s="171">
        <v>5243</v>
      </c>
      <c r="H317">
        <v>3</v>
      </c>
    </row>
    <row r="318" spans="1:8" hidden="1" x14ac:dyDescent="0.25">
      <c r="A318" t="s">
        <v>186</v>
      </c>
      <c r="B318" t="s">
        <v>188</v>
      </c>
      <c r="C318" t="s">
        <v>78</v>
      </c>
      <c r="D318" t="s">
        <v>99</v>
      </c>
      <c r="E318" t="s">
        <v>75</v>
      </c>
      <c r="F318" s="171">
        <v>85257</v>
      </c>
      <c r="G318" s="171">
        <v>5329</v>
      </c>
      <c r="H318">
        <v>16</v>
      </c>
    </row>
    <row r="319" spans="1:8" hidden="1" x14ac:dyDescent="0.25">
      <c r="A319" t="s">
        <v>186</v>
      </c>
      <c r="B319" t="s">
        <v>188</v>
      </c>
      <c r="C319" t="s">
        <v>78</v>
      </c>
      <c r="D319" t="s">
        <v>104</v>
      </c>
      <c r="E319" t="s">
        <v>75</v>
      </c>
      <c r="F319" s="171">
        <v>2220</v>
      </c>
      <c r="G319" s="171">
        <v>2220</v>
      </c>
      <c r="H319">
        <v>1</v>
      </c>
    </row>
    <row r="320" spans="1:8" hidden="1" x14ac:dyDescent="0.25">
      <c r="A320" t="s">
        <v>186</v>
      </c>
      <c r="B320" t="s">
        <v>188</v>
      </c>
      <c r="C320" t="s">
        <v>78</v>
      </c>
      <c r="D320" t="s">
        <v>105</v>
      </c>
      <c r="E320" t="s">
        <v>75</v>
      </c>
      <c r="F320" s="171">
        <v>1748075</v>
      </c>
      <c r="G320" s="171">
        <v>17481</v>
      </c>
      <c r="H320">
        <v>100</v>
      </c>
    </row>
    <row r="321" spans="1:8" hidden="1" x14ac:dyDescent="0.25">
      <c r="A321" t="s">
        <v>186</v>
      </c>
      <c r="B321" t="s">
        <v>188</v>
      </c>
      <c r="C321" t="s">
        <v>78</v>
      </c>
      <c r="D321" t="s">
        <v>106</v>
      </c>
      <c r="E321" t="s">
        <v>75</v>
      </c>
      <c r="F321" s="171">
        <v>177</v>
      </c>
      <c r="G321" s="171">
        <v>177</v>
      </c>
      <c r="H321">
        <v>1</v>
      </c>
    </row>
    <row r="322" spans="1:8" hidden="1" x14ac:dyDescent="0.25">
      <c r="A322" t="s">
        <v>186</v>
      </c>
      <c r="B322" t="s">
        <v>188</v>
      </c>
      <c r="C322" t="s">
        <v>78</v>
      </c>
      <c r="D322" t="s">
        <v>108</v>
      </c>
      <c r="E322" t="s">
        <v>75</v>
      </c>
      <c r="F322" s="171">
        <v>2178305</v>
      </c>
      <c r="G322" s="171">
        <v>726102</v>
      </c>
      <c r="H322">
        <v>3</v>
      </c>
    </row>
    <row r="323" spans="1:8" hidden="1" x14ac:dyDescent="0.25">
      <c r="A323" t="s">
        <v>186</v>
      </c>
      <c r="B323" t="s">
        <v>188</v>
      </c>
      <c r="C323" t="s">
        <v>78</v>
      </c>
      <c r="D323" t="s">
        <v>113</v>
      </c>
      <c r="E323" t="s">
        <v>75</v>
      </c>
      <c r="F323" s="171">
        <v>2498</v>
      </c>
      <c r="G323" s="171">
        <v>2498</v>
      </c>
      <c r="H323">
        <v>1</v>
      </c>
    </row>
    <row r="324" spans="1:8" hidden="1" x14ac:dyDescent="0.25">
      <c r="A324" t="s">
        <v>186</v>
      </c>
      <c r="B324" t="s">
        <v>188</v>
      </c>
      <c r="C324" t="s">
        <v>78</v>
      </c>
      <c r="D324" t="s">
        <v>118</v>
      </c>
      <c r="E324" t="s">
        <v>75</v>
      </c>
      <c r="F324" s="171">
        <v>1353568</v>
      </c>
      <c r="G324" s="171">
        <v>225595</v>
      </c>
      <c r="H324">
        <v>6</v>
      </c>
    </row>
    <row r="325" spans="1:8" hidden="1" x14ac:dyDescent="0.25">
      <c r="A325" t="s">
        <v>186</v>
      </c>
      <c r="B325" t="s">
        <v>188</v>
      </c>
      <c r="C325" t="s">
        <v>78</v>
      </c>
      <c r="D325" t="s">
        <v>120</v>
      </c>
      <c r="E325" t="s">
        <v>75</v>
      </c>
      <c r="F325" s="171">
        <v>5704</v>
      </c>
      <c r="G325" s="171">
        <v>1901</v>
      </c>
      <c r="H325">
        <v>3</v>
      </c>
    </row>
    <row r="326" spans="1:8" hidden="1" x14ac:dyDescent="0.25">
      <c r="A326" t="s">
        <v>186</v>
      </c>
      <c r="B326" t="s">
        <v>188</v>
      </c>
      <c r="C326" t="s">
        <v>78</v>
      </c>
      <c r="D326" t="s">
        <v>127</v>
      </c>
      <c r="E326" t="s">
        <v>75</v>
      </c>
      <c r="F326" s="171">
        <v>41853</v>
      </c>
      <c r="G326" s="171">
        <v>41853</v>
      </c>
      <c r="H326">
        <v>1</v>
      </c>
    </row>
    <row r="327" spans="1:8" hidden="1" x14ac:dyDescent="0.25">
      <c r="A327" t="s">
        <v>186</v>
      </c>
      <c r="B327" t="s">
        <v>188</v>
      </c>
      <c r="C327" t="s">
        <v>78</v>
      </c>
      <c r="D327" t="s">
        <v>129</v>
      </c>
      <c r="E327" t="s">
        <v>75</v>
      </c>
      <c r="F327" s="171">
        <v>1035493</v>
      </c>
      <c r="G327" s="171">
        <v>18491</v>
      </c>
      <c r="H327">
        <v>56</v>
      </c>
    </row>
    <row r="328" spans="1:8" hidden="1" x14ac:dyDescent="0.25">
      <c r="A328" t="s">
        <v>186</v>
      </c>
      <c r="B328" t="s">
        <v>188</v>
      </c>
      <c r="C328" t="s">
        <v>78</v>
      </c>
      <c r="D328" t="s">
        <v>131</v>
      </c>
      <c r="E328" t="s">
        <v>75</v>
      </c>
      <c r="F328" s="171">
        <v>539532</v>
      </c>
      <c r="G328" s="171">
        <v>38538</v>
      </c>
      <c r="H328">
        <v>14</v>
      </c>
    </row>
    <row r="329" spans="1:8" hidden="1" x14ac:dyDescent="0.25">
      <c r="A329" t="s">
        <v>186</v>
      </c>
      <c r="B329" t="s">
        <v>188</v>
      </c>
      <c r="C329" t="s">
        <v>78</v>
      </c>
      <c r="D329" t="s">
        <v>135</v>
      </c>
      <c r="E329" t="s">
        <v>75</v>
      </c>
      <c r="F329" s="171">
        <v>22963</v>
      </c>
      <c r="G329" s="171">
        <v>11481</v>
      </c>
      <c r="H329">
        <v>2</v>
      </c>
    </row>
    <row r="330" spans="1:8" hidden="1" x14ac:dyDescent="0.25">
      <c r="A330" t="s">
        <v>186</v>
      </c>
      <c r="B330" t="s">
        <v>188</v>
      </c>
      <c r="C330" t="s">
        <v>78</v>
      </c>
      <c r="D330" t="s">
        <v>137</v>
      </c>
      <c r="E330" t="s">
        <v>75</v>
      </c>
      <c r="F330" s="171">
        <v>515226</v>
      </c>
      <c r="G330" s="171">
        <v>257613</v>
      </c>
      <c r="H330">
        <v>2</v>
      </c>
    </row>
    <row r="331" spans="1:8" hidden="1" x14ac:dyDescent="0.25">
      <c r="A331" t="s">
        <v>186</v>
      </c>
      <c r="B331" t="s">
        <v>188</v>
      </c>
      <c r="C331" t="s">
        <v>78</v>
      </c>
      <c r="D331" t="s">
        <v>141</v>
      </c>
      <c r="E331" t="s">
        <v>75</v>
      </c>
      <c r="F331" s="171">
        <v>195</v>
      </c>
      <c r="G331" s="171">
        <v>195</v>
      </c>
      <c r="H331">
        <v>1</v>
      </c>
    </row>
    <row r="332" spans="1:8" hidden="1" x14ac:dyDescent="0.25">
      <c r="A332" t="s">
        <v>186</v>
      </c>
      <c r="B332" t="s">
        <v>188</v>
      </c>
      <c r="C332" t="s">
        <v>78</v>
      </c>
      <c r="D332" t="s">
        <v>142</v>
      </c>
      <c r="E332" t="s">
        <v>75</v>
      </c>
      <c r="F332" s="171">
        <v>1241</v>
      </c>
      <c r="G332" s="171">
        <v>1241</v>
      </c>
      <c r="H332">
        <v>1</v>
      </c>
    </row>
    <row r="333" spans="1:8" hidden="1" x14ac:dyDescent="0.25">
      <c r="A333" t="s">
        <v>186</v>
      </c>
      <c r="B333" t="s">
        <v>188</v>
      </c>
      <c r="C333" t="s">
        <v>78</v>
      </c>
      <c r="D333" t="s">
        <v>143</v>
      </c>
      <c r="E333" t="s">
        <v>75</v>
      </c>
      <c r="F333" s="171">
        <v>9941</v>
      </c>
      <c r="G333" s="171">
        <v>3314</v>
      </c>
      <c r="H333">
        <v>3</v>
      </c>
    </row>
    <row r="334" spans="1:8" hidden="1" x14ac:dyDescent="0.25">
      <c r="A334" t="s">
        <v>186</v>
      </c>
      <c r="B334" t="s">
        <v>188</v>
      </c>
      <c r="C334" t="s">
        <v>78</v>
      </c>
      <c r="D334" t="s">
        <v>145</v>
      </c>
      <c r="E334" t="s">
        <v>75</v>
      </c>
      <c r="F334" s="171">
        <v>7389</v>
      </c>
      <c r="G334" s="171">
        <v>1478</v>
      </c>
      <c r="H334">
        <v>5</v>
      </c>
    </row>
    <row r="335" spans="1:8" hidden="1" x14ac:dyDescent="0.25">
      <c r="A335" t="s">
        <v>186</v>
      </c>
      <c r="B335" t="s">
        <v>188</v>
      </c>
      <c r="C335" t="s">
        <v>78</v>
      </c>
      <c r="D335" t="s">
        <v>149</v>
      </c>
      <c r="E335" t="s">
        <v>75</v>
      </c>
      <c r="F335" s="171">
        <v>1874492</v>
      </c>
      <c r="G335" s="171">
        <v>10132</v>
      </c>
      <c r="H335">
        <v>185</v>
      </c>
    </row>
    <row r="336" spans="1:8" hidden="1" x14ac:dyDescent="0.25">
      <c r="A336" t="s">
        <v>186</v>
      </c>
      <c r="B336" t="s">
        <v>188</v>
      </c>
      <c r="C336" t="s">
        <v>78</v>
      </c>
      <c r="D336" t="s">
        <v>150</v>
      </c>
      <c r="E336" t="s">
        <v>75</v>
      </c>
      <c r="F336" s="171">
        <v>15847</v>
      </c>
      <c r="G336" s="171">
        <v>3169</v>
      </c>
      <c r="H336">
        <v>5</v>
      </c>
    </row>
    <row r="337" spans="1:8" hidden="1" x14ac:dyDescent="0.25">
      <c r="A337" t="s">
        <v>186</v>
      </c>
      <c r="B337" t="s">
        <v>188</v>
      </c>
      <c r="C337" t="s">
        <v>78</v>
      </c>
      <c r="D337" t="s">
        <v>151</v>
      </c>
      <c r="E337" t="s">
        <v>75</v>
      </c>
      <c r="F337" s="171">
        <v>247015</v>
      </c>
      <c r="G337" s="171">
        <v>8822</v>
      </c>
      <c r="H337">
        <v>28</v>
      </c>
    </row>
    <row r="338" spans="1:8" hidden="1" x14ac:dyDescent="0.25">
      <c r="A338" t="s">
        <v>186</v>
      </c>
      <c r="B338" t="s">
        <v>188</v>
      </c>
      <c r="C338" t="s">
        <v>78</v>
      </c>
      <c r="D338" t="s">
        <v>153</v>
      </c>
      <c r="E338" t="s">
        <v>75</v>
      </c>
      <c r="F338" s="171">
        <v>288192</v>
      </c>
      <c r="G338" s="171">
        <v>57638</v>
      </c>
      <c r="H338">
        <v>5</v>
      </c>
    </row>
    <row r="339" spans="1:8" hidden="1" x14ac:dyDescent="0.25">
      <c r="A339" t="s">
        <v>186</v>
      </c>
      <c r="B339" t="s">
        <v>188</v>
      </c>
      <c r="C339" t="s">
        <v>78</v>
      </c>
      <c r="D339" t="s">
        <v>155</v>
      </c>
      <c r="E339" t="s">
        <v>75</v>
      </c>
      <c r="F339" s="171">
        <v>255826</v>
      </c>
      <c r="G339" s="171">
        <v>21319</v>
      </c>
      <c r="H339">
        <v>12</v>
      </c>
    </row>
    <row r="340" spans="1:8" hidden="1" x14ac:dyDescent="0.25">
      <c r="A340" t="s">
        <v>186</v>
      </c>
      <c r="B340" t="s">
        <v>188</v>
      </c>
      <c r="C340" t="s">
        <v>78</v>
      </c>
      <c r="D340" t="s">
        <v>158</v>
      </c>
      <c r="E340" t="s">
        <v>75</v>
      </c>
      <c r="F340" s="171">
        <v>726240</v>
      </c>
      <c r="G340" s="171">
        <v>80693</v>
      </c>
      <c r="H340">
        <v>9</v>
      </c>
    </row>
    <row r="341" spans="1:8" hidden="1" x14ac:dyDescent="0.25">
      <c r="A341" t="s">
        <v>186</v>
      </c>
      <c r="B341" t="s">
        <v>188</v>
      </c>
      <c r="C341" t="s">
        <v>78</v>
      </c>
      <c r="D341" t="s">
        <v>159</v>
      </c>
      <c r="E341" t="s">
        <v>75</v>
      </c>
      <c r="F341" s="171">
        <v>27358</v>
      </c>
      <c r="G341" s="171">
        <v>6839</v>
      </c>
      <c r="H341">
        <v>4</v>
      </c>
    </row>
    <row r="342" spans="1:8" hidden="1" x14ac:dyDescent="0.25">
      <c r="A342" t="s">
        <v>186</v>
      </c>
      <c r="B342" t="s">
        <v>188</v>
      </c>
      <c r="C342" t="s">
        <v>78</v>
      </c>
      <c r="D342" t="s">
        <v>162</v>
      </c>
      <c r="E342" t="s">
        <v>75</v>
      </c>
      <c r="F342" s="171">
        <v>14161694</v>
      </c>
      <c r="G342" s="171">
        <v>104901</v>
      </c>
      <c r="H342">
        <v>135</v>
      </c>
    </row>
    <row r="343" spans="1:8" hidden="1" x14ac:dyDescent="0.25">
      <c r="A343" t="s">
        <v>186</v>
      </c>
      <c r="B343" t="s">
        <v>188</v>
      </c>
      <c r="C343" t="s">
        <v>78</v>
      </c>
      <c r="D343" t="s">
        <v>163</v>
      </c>
      <c r="E343" t="s">
        <v>75</v>
      </c>
      <c r="F343" s="171">
        <v>30189</v>
      </c>
      <c r="G343" s="171">
        <v>30189</v>
      </c>
      <c r="H343">
        <v>1</v>
      </c>
    </row>
    <row r="344" spans="1:8" hidden="1" x14ac:dyDescent="0.25">
      <c r="A344" t="s">
        <v>186</v>
      </c>
      <c r="B344" t="s">
        <v>188</v>
      </c>
      <c r="C344" t="s">
        <v>78</v>
      </c>
      <c r="D344" t="s">
        <v>166</v>
      </c>
      <c r="E344" t="s">
        <v>75</v>
      </c>
      <c r="F344" s="171">
        <v>27575</v>
      </c>
      <c r="G344" s="171">
        <v>27575</v>
      </c>
      <c r="H344">
        <v>1</v>
      </c>
    </row>
    <row r="345" spans="1:8" hidden="1" x14ac:dyDescent="0.25">
      <c r="A345" t="s">
        <v>186</v>
      </c>
      <c r="B345" t="s">
        <v>188</v>
      </c>
      <c r="C345" t="s">
        <v>78</v>
      </c>
      <c r="D345" t="s">
        <v>169</v>
      </c>
      <c r="E345" t="s">
        <v>75</v>
      </c>
      <c r="F345" s="171">
        <v>15507510</v>
      </c>
      <c r="G345" s="171">
        <v>15278</v>
      </c>
      <c r="H345">
        <v>1015</v>
      </c>
    </row>
    <row r="346" spans="1:8" hidden="1" x14ac:dyDescent="0.25">
      <c r="A346" t="s">
        <v>186</v>
      </c>
      <c r="B346" t="s">
        <v>188</v>
      </c>
      <c r="C346" t="s">
        <v>78</v>
      </c>
      <c r="D346" t="s">
        <v>171</v>
      </c>
      <c r="E346" t="s">
        <v>75</v>
      </c>
      <c r="F346" s="171">
        <v>36257</v>
      </c>
      <c r="G346" s="171">
        <v>5180</v>
      </c>
      <c r="H346">
        <v>7</v>
      </c>
    </row>
    <row r="347" spans="1:8" hidden="1" x14ac:dyDescent="0.25">
      <c r="A347" t="s">
        <v>186</v>
      </c>
      <c r="B347" t="s">
        <v>188</v>
      </c>
      <c r="C347" t="s">
        <v>78</v>
      </c>
      <c r="D347" t="s">
        <v>174</v>
      </c>
      <c r="E347" t="s">
        <v>75</v>
      </c>
      <c r="F347" s="171">
        <v>885162</v>
      </c>
      <c r="G347" s="171">
        <v>21589</v>
      </c>
      <c r="H347">
        <v>41</v>
      </c>
    </row>
    <row r="348" spans="1:8" hidden="1" x14ac:dyDescent="0.25">
      <c r="A348" t="s">
        <v>186</v>
      </c>
      <c r="B348" t="s">
        <v>188</v>
      </c>
      <c r="C348" t="s">
        <v>78</v>
      </c>
      <c r="D348" t="s">
        <v>175</v>
      </c>
      <c r="E348" t="s">
        <v>75</v>
      </c>
      <c r="F348" s="171">
        <v>1757</v>
      </c>
      <c r="G348" s="171">
        <v>878</v>
      </c>
      <c r="H348">
        <v>2</v>
      </c>
    </row>
    <row r="349" spans="1:8" hidden="1" x14ac:dyDescent="0.25">
      <c r="A349" t="s">
        <v>186</v>
      </c>
      <c r="B349" t="s">
        <v>188</v>
      </c>
      <c r="C349" t="s">
        <v>78</v>
      </c>
      <c r="D349" t="s">
        <v>176</v>
      </c>
      <c r="E349" t="s">
        <v>75</v>
      </c>
      <c r="F349" s="171">
        <v>1363479</v>
      </c>
      <c r="G349" s="171">
        <v>9809</v>
      </c>
      <c r="H349">
        <v>139</v>
      </c>
    </row>
    <row r="350" spans="1:8" hidden="1" x14ac:dyDescent="0.25">
      <c r="A350" t="s">
        <v>186</v>
      </c>
      <c r="B350" t="s">
        <v>188</v>
      </c>
      <c r="C350" t="s">
        <v>78</v>
      </c>
      <c r="D350" t="s">
        <v>177</v>
      </c>
      <c r="E350" t="s">
        <v>75</v>
      </c>
      <c r="F350" s="171">
        <v>6325599</v>
      </c>
      <c r="G350" s="171">
        <v>11758</v>
      </c>
      <c r="H350">
        <v>538</v>
      </c>
    </row>
    <row r="351" spans="1:8" hidden="1" x14ac:dyDescent="0.25">
      <c r="A351" t="s">
        <v>186</v>
      </c>
      <c r="B351" t="s">
        <v>188</v>
      </c>
      <c r="C351" t="s">
        <v>78</v>
      </c>
      <c r="D351" t="s">
        <v>178</v>
      </c>
      <c r="E351" t="s">
        <v>75</v>
      </c>
      <c r="F351" s="171">
        <v>1798040</v>
      </c>
      <c r="G351" s="171">
        <v>43855</v>
      </c>
      <c r="H351">
        <v>41</v>
      </c>
    </row>
    <row r="352" spans="1:8" hidden="1" x14ac:dyDescent="0.25">
      <c r="A352" t="s">
        <v>186</v>
      </c>
      <c r="B352" t="s">
        <v>188</v>
      </c>
      <c r="C352" t="s">
        <v>78</v>
      </c>
      <c r="D352" t="s">
        <v>180</v>
      </c>
      <c r="E352" t="s">
        <v>75</v>
      </c>
      <c r="F352" s="171">
        <v>11524101</v>
      </c>
      <c r="G352" s="171">
        <v>69843</v>
      </c>
      <c r="H352">
        <v>165</v>
      </c>
    </row>
    <row r="353" spans="1:8" hidden="1" x14ac:dyDescent="0.25">
      <c r="A353" t="s">
        <v>186</v>
      </c>
      <c r="B353" t="s">
        <v>188</v>
      </c>
      <c r="C353" t="s">
        <v>78</v>
      </c>
      <c r="D353" t="s">
        <v>184</v>
      </c>
      <c r="E353" t="s">
        <v>75</v>
      </c>
      <c r="F353" s="171">
        <v>36096</v>
      </c>
      <c r="G353" s="171">
        <v>7219</v>
      </c>
      <c r="H353">
        <v>5</v>
      </c>
    </row>
    <row r="354" spans="1:8" hidden="1" x14ac:dyDescent="0.25">
      <c r="A354" t="s">
        <v>186</v>
      </c>
      <c r="B354" t="s">
        <v>188</v>
      </c>
      <c r="C354" t="s">
        <v>78</v>
      </c>
      <c r="D354" t="s">
        <v>185</v>
      </c>
      <c r="E354" t="s">
        <v>75</v>
      </c>
      <c r="F354" s="171">
        <v>128407</v>
      </c>
      <c r="G354" s="171">
        <v>32102</v>
      </c>
      <c r="H354">
        <v>4</v>
      </c>
    </row>
    <row r="355" spans="1:8" hidden="1" x14ac:dyDescent="0.25">
      <c r="A355" t="s">
        <v>186</v>
      </c>
      <c r="B355" t="s">
        <v>189</v>
      </c>
      <c r="C355" t="s">
        <v>78</v>
      </c>
      <c r="D355" t="s">
        <v>79</v>
      </c>
      <c r="E355" t="s">
        <v>75</v>
      </c>
      <c r="F355" s="171">
        <v>2591205</v>
      </c>
      <c r="G355" s="171">
        <v>215934</v>
      </c>
      <c r="H355">
        <v>12</v>
      </c>
    </row>
    <row r="356" spans="1:8" hidden="1" x14ac:dyDescent="0.25">
      <c r="A356" t="s">
        <v>186</v>
      </c>
      <c r="B356" t="s">
        <v>189</v>
      </c>
      <c r="C356" t="s">
        <v>78</v>
      </c>
      <c r="D356" t="s">
        <v>81</v>
      </c>
      <c r="E356" t="s">
        <v>75</v>
      </c>
      <c r="F356" s="171">
        <v>7584</v>
      </c>
    </row>
    <row r="357" spans="1:8" hidden="1" x14ac:dyDescent="0.25">
      <c r="A357" t="s">
        <v>186</v>
      </c>
      <c r="B357" t="s">
        <v>189</v>
      </c>
      <c r="C357" t="s">
        <v>78</v>
      </c>
      <c r="D357" t="s">
        <v>85</v>
      </c>
      <c r="E357" t="s">
        <v>75</v>
      </c>
      <c r="F357" s="171">
        <v>773904</v>
      </c>
      <c r="G357" s="171">
        <v>64492</v>
      </c>
      <c r="H357">
        <v>12</v>
      </c>
    </row>
    <row r="358" spans="1:8" hidden="1" x14ac:dyDescent="0.25">
      <c r="A358" t="s">
        <v>186</v>
      </c>
      <c r="B358" t="s">
        <v>189</v>
      </c>
      <c r="C358" t="s">
        <v>78</v>
      </c>
      <c r="D358" t="s">
        <v>88</v>
      </c>
      <c r="E358" t="s">
        <v>75</v>
      </c>
      <c r="F358" s="171">
        <v>4108</v>
      </c>
      <c r="G358" s="171">
        <v>4108</v>
      </c>
      <c r="H358">
        <v>1</v>
      </c>
    </row>
    <row r="359" spans="1:8" hidden="1" x14ac:dyDescent="0.25">
      <c r="A359" t="s">
        <v>186</v>
      </c>
      <c r="B359" t="s">
        <v>189</v>
      </c>
      <c r="C359" t="s">
        <v>78</v>
      </c>
      <c r="D359" t="s">
        <v>90</v>
      </c>
      <c r="E359" t="s">
        <v>75</v>
      </c>
      <c r="F359" s="171">
        <v>308482</v>
      </c>
      <c r="G359" s="171">
        <v>10637</v>
      </c>
      <c r="H359">
        <v>29</v>
      </c>
    </row>
    <row r="360" spans="1:8" hidden="1" x14ac:dyDescent="0.25">
      <c r="A360" t="s">
        <v>186</v>
      </c>
      <c r="B360" t="s">
        <v>189</v>
      </c>
      <c r="C360" t="s">
        <v>78</v>
      </c>
      <c r="D360" t="s">
        <v>92</v>
      </c>
      <c r="E360" t="s">
        <v>75</v>
      </c>
      <c r="F360" s="171">
        <v>11479</v>
      </c>
      <c r="G360" s="171">
        <v>11479</v>
      </c>
      <c r="H360">
        <v>1</v>
      </c>
    </row>
    <row r="361" spans="1:8" hidden="1" x14ac:dyDescent="0.25">
      <c r="A361" t="s">
        <v>186</v>
      </c>
      <c r="B361" t="s">
        <v>189</v>
      </c>
      <c r="C361" t="s">
        <v>78</v>
      </c>
      <c r="D361" t="s">
        <v>93</v>
      </c>
      <c r="E361" t="s">
        <v>75</v>
      </c>
      <c r="F361" s="171">
        <v>17336</v>
      </c>
      <c r="G361" s="171">
        <v>2167</v>
      </c>
      <c r="H361">
        <v>8</v>
      </c>
    </row>
    <row r="362" spans="1:8" hidden="1" x14ac:dyDescent="0.25">
      <c r="A362" t="s">
        <v>186</v>
      </c>
      <c r="B362" t="s">
        <v>189</v>
      </c>
      <c r="C362" t="s">
        <v>78</v>
      </c>
      <c r="D362" t="s">
        <v>95</v>
      </c>
      <c r="E362" t="s">
        <v>75</v>
      </c>
      <c r="F362" s="171">
        <v>927</v>
      </c>
      <c r="G362" s="171">
        <v>927</v>
      </c>
      <c r="H362">
        <v>1</v>
      </c>
    </row>
    <row r="363" spans="1:8" hidden="1" x14ac:dyDescent="0.25">
      <c r="A363" t="s">
        <v>186</v>
      </c>
      <c r="B363" t="s">
        <v>189</v>
      </c>
      <c r="C363" t="s">
        <v>78</v>
      </c>
      <c r="D363" t="s">
        <v>97</v>
      </c>
      <c r="E363" t="s">
        <v>75</v>
      </c>
      <c r="F363" s="171">
        <v>45980</v>
      </c>
      <c r="G363" s="171">
        <v>22990</v>
      </c>
      <c r="H363">
        <v>2</v>
      </c>
    </row>
    <row r="364" spans="1:8" hidden="1" x14ac:dyDescent="0.25">
      <c r="A364" t="s">
        <v>186</v>
      </c>
      <c r="B364" t="s">
        <v>189</v>
      </c>
      <c r="C364" t="s">
        <v>78</v>
      </c>
      <c r="D364" t="s">
        <v>98</v>
      </c>
      <c r="E364" t="s">
        <v>75</v>
      </c>
      <c r="F364" s="171">
        <v>16187</v>
      </c>
      <c r="G364" s="171">
        <v>5396</v>
      </c>
      <c r="H364">
        <v>3</v>
      </c>
    </row>
    <row r="365" spans="1:8" hidden="1" x14ac:dyDescent="0.25">
      <c r="A365" t="s">
        <v>186</v>
      </c>
      <c r="B365" t="s">
        <v>189</v>
      </c>
      <c r="C365" t="s">
        <v>78</v>
      </c>
      <c r="D365" t="s">
        <v>99</v>
      </c>
      <c r="E365" t="s">
        <v>75</v>
      </c>
      <c r="F365" s="171">
        <v>251365</v>
      </c>
      <c r="G365" s="171">
        <v>10474</v>
      </c>
      <c r="H365">
        <v>24</v>
      </c>
    </row>
    <row r="366" spans="1:8" hidden="1" x14ac:dyDescent="0.25">
      <c r="A366" t="s">
        <v>186</v>
      </c>
      <c r="B366" t="s">
        <v>189</v>
      </c>
      <c r="C366" t="s">
        <v>78</v>
      </c>
      <c r="D366" t="s">
        <v>104</v>
      </c>
      <c r="E366" t="s">
        <v>75</v>
      </c>
      <c r="F366" s="171">
        <v>1000</v>
      </c>
      <c r="G366" s="171">
        <v>1000</v>
      </c>
      <c r="H366">
        <v>1</v>
      </c>
    </row>
    <row r="367" spans="1:8" hidden="1" x14ac:dyDescent="0.25">
      <c r="A367" t="s">
        <v>186</v>
      </c>
      <c r="B367" t="s">
        <v>189</v>
      </c>
      <c r="C367" t="s">
        <v>78</v>
      </c>
      <c r="D367" t="s">
        <v>105</v>
      </c>
      <c r="E367" t="s">
        <v>75</v>
      </c>
      <c r="F367" s="171">
        <v>3141784</v>
      </c>
      <c r="G367" s="171">
        <v>27803</v>
      </c>
      <c r="H367">
        <v>113</v>
      </c>
    </row>
    <row r="368" spans="1:8" hidden="1" x14ac:dyDescent="0.25">
      <c r="A368" t="s">
        <v>186</v>
      </c>
      <c r="B368" t="s">
        <v>189</v>
      </c>
      <c r="C368" t="s">
        <v>78</v>
      </c>
      <c r="D368" t="s">
        <v>106</v>
      </c>
      <c r="E368" t="s">
        <v>75</v>
      </c>
      <c r="F368" s="171">
        <v>4637</v>
      </c>
      <c r="G368" s="171">
        <v>4637</v>
      </c>
      <c r="H368">
        <v>1</v>
      </c>
    </row>
    <row r="369" spans="1:8" hidden="1" x14ac:dyDescent="0.25">
      <c r="A369" t="s">
        <v>186</v>
      </c>
      <c r="B369" t="s">
        <v>189</v>
      </c>
      <c r="C369" t="s">
        <v>78</v>
      </c>
      <c r="D369" t="s">
        <v>108</v>
      </c>
      <c r="E369" t="s">
        <v>75</v>
      </c>
      <c r="F369" s="171">
        <v>4688825</v>
      </c>
      <c r="G369" s="171">
        <v>520981</v>
      </c>
      <c r="H369">
        <v>9</v>
      </c>
    </row>
    <row r="370" spans="1:8" hidden="1" x14ac:dyDescent="0.25">
      <c r="A370" t="s">
        <v>186</v>
      </c>
      <c r="B370" t="s">
        <v>189</v>
      </c>
      <c r="C370" t="s">
        <v>78</v>
      </c>
      <c r="D370" t="s">
        <v>112</v>
      </c>
      <c r="E370" t="s">
        <v>75</v>
      </c>
      <c r="F370" s="171">
        <v>9068</v>
      </c>
      <c r="G370" s="171">
        <v>4534</v>
      </c>
      <c r="H370">
        <v>2</v>
      </c>
    </row>
    <row r="371" spans="1:8" hidden="1" x14ac:dyDescent="0.25">
      <c r="A371" t="s">
        <v>186</v>
      </c>
      <c r="B371" t="s">
        <v>189</v>
      </c>
      <c r="C371" t="s">
        <v>78</v>
      </c>
      <c r="D371" t="s">
        <v>113</v>
      </c>
      <c r="E371" t="s">
        <v>75</v>
      </c>
      <c r="F371" s="171">
        <v>9030</v>
      </c>
      <c r="G371" s="171">
        <v>9030</v>
      </c>
      <c r="H371">
        <v>1</v>
      </c>
    </row>
    <row r="372" spans="1:8" hidden="1" x14ac:dyDescent="0.25">
      <c r="A372" t="s">
        <v>186</v>
      </c>
      <c r="B372" t="s">
        <v>189</v>
      </c>
      <c r="C372" t="s">
        <v>78</v>
      </c>
      <c r="D372" t="s">
        <v>118</v>
      </c>
      <c r="E372" t="s">
        <v>75</v>
      </c>
      <c r="F372" s="171">
        <v>10463</v>
      </c>
      <c r="G372" s="171">
        <v>3488</v>
      </c>
      <c r="H372">
        <v>3</v>
      </c>
    </row>
    <row r="373" spans="1:8" hidden="1" x14ac:dyDescent="0.25">
      <c r="A373" t="s">
        <v>186</v>
      </c>
      <c r="B373" t="s">
        <v>189</v>
      </c>
      <c r="C373" t="s">
        <v>78</v>
      </c>
      <c r="D373" t="s">
        <v>120</v>
      </c>
      <c r="E373" t="s">
        <v>75</v>
      </c>
      <c r="F373" s="171">
        <v>8640</v>
      </c>
      <c r="G373" s="171">
        <v>2880</v>
      </c>
      <c r="H373">
        <v>3</v>
      </c>
    </row>
    <row r="374" spans="1:8" hidden="1" x14ac:dyDescent="0.25">
      <c r="A374" t="s">
        <v>186</v>
      </c>
      <c r="B374" t="s">
        <v>189</v>
      </c>
      <c r="C374" t="s">
        <v>78</v>
      </c>
      <c r="D374" t="s">
        <v>122</v>
      </c>
      <c r="E374" t="s">
        <v>75</v>
      </c>
      <c r="F374" s="171">
        <v>22223</v>
      </c>
      <c r="G374" s="171">
        <v>22223</v>
      </c>
      <c r="H374">
        <v>1</v>
      </c>
    </row>
    <row r="375" spans="1:8" hidden="1" x14ac:dyDescent="0.25">
      <c r="A375" t="s">
        <v>186</v>
      </c>
      <c r="B375" t="s">
        <v>189</v>
      </c>
      <c r="C375" t="s">
        <v>78</v>
      </c>
      <c r="D375" t="s">
        <v>127</v>
      </c>
      <c r="E375" t="s">
        <v>75</v>
      </c>
      <c r="F375" s="171">
        <v>23945</v>
      </c>
      <c r="G375" s="171">
        <v>23945</v>
      </c>
      <c r="H375">
        <v>1</v>
      </c>
    </row>
    <row r="376" spans="1:8" hidden="1" x14ac:dyDescent="0.25">
      <c r="A376" t="s">
        <v>186</v>
      </c>
      <c r="B376" t="s">
        <v>189</v>
      </c>
      <c r="C376" t="s">
        <v>78</v>
      </c>
      <c r="D376" t="s">
        <v>129</v>
      </c>
      <c r="E376" t="s">
        <v>75</v>
      </c>
      <c r="F376" s="171">
        <v>1296175</v>
      </c>
      <c r="G376" s="171">
        <v>20253</v>
      </c>
      <c r="H376">
        <v>64</v>
      </c>
    </row>
    <row r="377" spans="1:8" hidden="1" x14ac:dyDescent="0.25">
      <c r="A377" t="s">
        <v>186</v>
      </c>
      <c r="B377" t="s">
        <v>189</v>
      </c>
      <c r="C377" t="s">
        <v>78</v>
      </c>
      <c r="D377" t="s">
        <v>131</v>
      </c>
      <c r="E377" t="s">
        <v>75</v>
      </c>
      <c r="F377" s="171">
        <v>961265</v>
      </c>
      <c r="G377" s="171">
        <v>53404</v>
      </c>
      <c r="H377">
        <v>18</v>
      </c>
    </row>
    <row r="378" spans="1:8" hidden="1" x14ac:dyDescent="0.25">
      <c r="A378" t="s">
        <v>186</v>
      </c>
      <c r="B378" t="s">
        <v>189</v>
      </c>
      <c r="C378" t="s">
        <v>78</v>
      </c>
      <c r="D378" t="s">
        <v>134</v>
      </c>
      <c r="E378" t="s">
        <v>75</v>
      </c>
      <c r="F378" s="171">
        <v>16501</v>
      </c>
    </row>
    <row r="379" spans="1:8" hidden="1" x14ac:dyDescent="0.25">
      <c r="A379" t="s">
        <v>186</v>
      </c>
      <c r="B379" t="s">
        <v>189</v>
      </c>
      <c r="C379" t="s">
        <v>78</v>
      </c>
      <c r="D379" t="s">
        <v>135</v>
      </c>
      <c r="E379" t="s">
        <v>75</v>
      </c>
      <c r="F379" s="171">
        <v>97368</v>
      </c>
      <c r="G379" s="171">
        <v>32456</v>
      </c>
      <c r="H379">
        <v>3</v>
      </c>
    </row>
    <row r="380" spans="1:8" hidden="1" x14ac:dyDescent="0.25">
      <c r="A380" t="s">
        <v>186</v>
      </c>
      <c r="B380" t="s">
        <v>189</v>
      </c>
      <c r="C380" t="s">
        <v>78</v>
      </c>
      <c r="D380" t="s">
        <v>136</v>
      </c>
      <c r="E380" t="s">
        <v>75</v>
      </c>
      <c r="F380" s="171">
        <v>60001</v>
      </c>
      <c r="G380" s="171">
        <v>60001</v>
      </c>
      <c r="H380">
        <v>1</v>
      </c>
    </row>
    <row r="381" spans="1:8" hidden="1" x14ac:dyDescent="0.25">
      <c r="A381" t="s">
        <v>186</v>
      </c>
      <c r="B381" t="s">
        <v>189</v>
      </c>
      <c r="C381" t="s">
        <v>78</v>
      </c>
      <c r="D381" t="s">
        <v>137</v>
      </c>
      <c r="E381" t="s">
        <v>75</v>
      </c>
      <c r="F381" s="171">
        <v>2530290</v>
      </c>
      <c r="G381" s="171">
        <v>421715</v>
      </c>
      <c r="H381">
        <v>6</v>
      </c>
    </row>
    <row r="382" spans="1:8" hidden="1" x14ac:dyDescent="0.25">
      <c r="A382" t="s">
        <v>186</v>
      </c>
      <c r="B382" t="s">
        <v>189</v>
      </c>
      <c r="C382" t="s">
        <v>78</v>
      </c>
      <c r="D382" t="s">
        <v>141</v>
      </c>
      <c r="E382" t="s">
        <v>75</v>
      </c>
      <c r="F382" s="171">
        <v>1975</v>
      </c>
      <c r="G382" s="171">
        <v>987</v>
      </c>
      <c r="H382">
        <v>2</v>
      </c>
    </row>
    <row r="383" spans="1:8" hidden="1" x14ac:dyDescent="0.25">
      <c r="A383" t="s">
        <v>186</v>
      </c>
      <c r="B383" t="s">
        <v>189</v>
      </c>
      <c r="C383" t="s">
        <v>78</v>
      </c>
      <c r="D383" t="s">
        <v>143</v>
      </c>
      <c r="E383" t="s">
        <v>75</v>
      </c>
      <c r="F383" s="171">
        <v>797</v>
      </c>
      <c r="G383" s="171">
        <v>797</v>
      </c>
      <c r="H383">
        <v>1</v>
      </c>
    </row>
    <row r="384" spans="1:8" hidden="1" x14ac:dyDescent="0.25">
      <c r="A384" t="s">
        <v>186</v>
      </c>
      <c r="B384" t="s">
        <v>189</v>
      </c>
      <c r="C384" t="s">
        <v>78</v>
      </c>
      <c r="D384" t="s">
        <v>144</v>
      </c>
      <c r="E384" t="s">
        <v>75</v>
      </c>
      <c r="F384" s="171">
        <v>79371</v>
      </c>
      <c r="G384" s="171">
        <v>79371</v>
      </c>
      <c r="H384">
        <v>1</v>
      </c>
    </row>
    <row r="385" spans="1:8" hidden="1" x14ac:dyDescent="0.25">
      <c r="A385" t="s">
        <v>186</v>
      </c>
      <c r="B385" t="s">
        <v>189</v>
      </c>
      <c r="C385" t="s">
        <v>78</v>
      </c>
      <c r="D385" t="s">
        <v>145</v>
      </c>
      <c r="E385" t="s">
        <v>75</v>
      </c>
      <c r="F385" s="171">
        <v>302523</v>
      </c>
      <c r="G385" s="171">
        <v>21609</v>
      </c>
      <c r="H385">
        <v>14</v>
      </c>
    </row>
    <row r="386" spans="1:8" hidden="1" x14ac:dyDescent="0.25">
      <c r="A386" t="s">
        <v>186</v>
      </c>
      <c r="B386" t="s">
        <v>189</v>
      </c>
      <c r="C386" t="s">
        <v>78</v>
      </c>
      <c r="D386" t="s">
        <v>149</v>
      </c>
      <c r="E386" t="s">
        <v>75</v>
      </c>
      <c r="F386" s="171">
        <v>2120392</v>
      </c>
      <c r="G386" s="171">
        <v>11462</v>
      </c>
      <c r="H386">
        <v>185</v>
      </c>
    </row>
    <row r="387" spans="1:8" hidden="1" x14ac:dyDescent="0.25">
      <c r="A387" t="s">
        <v>186</v>
      </c>
      <c r="B387" t="s">
        <v>189</v>
      </c>
      <c r="C387" t="s">
        <v>78</v>
      </c>
      <c r="D387" t="s">
        <v>150</v>
      </c>
      <c r="E387" t="s">
        <v>75</v>
      </c>
      <c r="F387" s="171">
        <v>3570</v>
      </c>
      <c r="G387" s="171">
        <v>893</v>
      </c>
      <c r="H387">
        <v>4</v>
      </c>
    </row>
    <row r="388" spans="1:8" hidden="1" x14ac:dyDescent="0.25">
      <c r="A388" t="s">
        <v>186</v>
      </c>
      <c r="B388" t="s">
        <v>189</v>
      </c>
      <c r="C388" t="s">
        <v>78</v>
      </c>
      <c r="D388" t="s">
        <v>151</v>
      </c>
      <c r="E388" t="s">
        <v>75</v>
      </c>
      <c r="F388" s="171">
        <v>241014</v>
      </c>
      <c r="G388" s="171">
        <v>10479</v>
      </c>
      <c r="H388">
        <v>23</v>
      </c>
    </row>
    <row r="389" spans="1:8" hidden="1" x14ac:dyDescent="0.25">
      <c r="A389" t="s">
        <v>186</v>
      </c>
      <c r="B389" t="s">
        <v>189</v>
      </c>
      <c r="C389" t="s">
        <v>78</v>
      </c>
      <c r="D389" t="s">
        <v>153</v>
      </c>
      <c r="E389" t="s">
        <v>75</v>
      </c>
      <c r="F389" s="171">
        <v>227769</v>
      </c>
      <c r="G389" s="171">
        <v>75923</v>
      </c>
      <c r="H389">
        <v>3</v>
      </c>
    </row>
    <row r="390" spans="1:8" hidden="1" x14ac:dyDescent="0.25">
      <c r="A390" t="s">
        <v>186</v>
      </c>
      <c r="B390" t="s">
        <v>189</v>
      </c>
      <c r="C390" t="s">
        <v>78</v>
      </c>
      <c r="D390" t="s">
        <v>155</v>
      </c>
      <c r="E390" t="s">
        <v>75</v>
      </c>
      <c r="F390" s="171">
        <v>395386</v>
      </c>
      <c r="G390" s="171">
        <v>20810</v>
      </c>
      <c r="H390">
        <v>19</v>
      </c>
    </row>
    <row r="391" spans="1:8" hidden="1" x14ac:dyDescent="0.25">
      <c r="A391" t="s">
        <v>186</v>
      </c>
      <c r="B391" t="s">
        <v>189</v>
      </c>
      <c r="C391" t="s">
        <v>78</v>
      </c>
      <c r="D391" t="s">
        <v>158</v>
      </c>
      <c r="E391" t="s">
        <v>75</v>
      </c>
      <c r="F391" s="171">
        <v>820841</v>
      </c>
      <c r="G391" s="171">
        <v>74622</v>
      </c>
      <c r="H391">
        <v>11</v>
      </c>
    </row>
    <row r="392" spans="1:8" hidden="1" x14ac:dyDescent="0.25">
      <c r="A392" t="s">
        <v>186</v>
      </c>
      <c r="B392" t="s">
        <v>189</v>
      </c>
      <c r="C392" t="s">
        <v>78</v>
      </c>
      <c r="D392" t="s">
        <v>159</v>
      </c>
      <c r="E392" t="s">
        <v>75</v>
      </c>
      <c r="F392" s="171">
        <v>14768</v>
      </c>
      <c r="G392" s="171">
        <v>2954</v>
      </c>
      <c r="H392">
        <v>5</v>
      </c>
    </row>
    <row r="393" spans="1:8" hidden="1" x14ac:dyDescent="0.25">
      <c r="A393" t="s">
        <v>186</v>
      </c>
      <c r="B393" t="s">
        <v>189</v>
      </c>
      <c r="C393" t="s">
        <v>78</v>
      </c>
      <c r="D393" t="s">
        <v>162</v>
      </c>
      <c r="E393" t="s">
        <v>75</v>
      </c>
      <c r="F393" s="171">
        <v>14410772</v>
      </c>
      <c r="G393" s="171">
        <v>86812</v>
      </c>
      <c r="H393">
        <v>166</v>
      </c>
    </row>
    <row r="394" spans="1:8" hidden="1" x14ac:dyDescent="0.25">
      <c r="A394" t="s">
        <v>186</v>
      </c>
      <c r="B394" t="s">
        <v>189</v>
      </c>
      <c r="C394" t="s">
        <v>78</v>
      </c>
      <c r="D394" t="s">
        <v>163</v>
      </c>
      <c r="E394" t="s">
        <v>75</v>
      </c>
      <c r="F394" s="171">
        <v>4536</v>
      </c>
      <c r="G394" s="171">
        <v>4536</v>
      </c>
      <c r="H394">
        <v>1</v>
      </c>
    </row>
    <row r="395" spans="1:8" hidden="1" x14ac:dyDescent="0.25">
      <c r="A395" t="s">
        <v>186</v>
      </c>
      <c r="B395" t="s">
        <v>189</v>
      </c>
      <c r="C395" t="s">
        <v>78</v>
      </c>
      <c r="D395" t="s">
        <v>165</v>
      </c>
      <c r="E395" t="s">
        <v>75</v>
      </c>
      <c r="F395" s="171">
        <v>1122</v>
      </c>
      <c r="G395" s="171">
        <v>1122</v>
      </c>
      <c r="H395">
        <v>1</v>
      </c>
    </row>
    <row r="396" spans="1:8" hidden="1" x14ac:dyDescent="0.25">
      <c r="A396" t="s">
        <v>186</v>
      </c>
      <c r="B396" t="s">
        <v>189</v>
      </c>
      <c r="C396" t="s">
        <v>78</v>
      </c>
      <c r="D396" t="s">
        <v>169</v>
      </c>
      <c r="E396" t="s">
        <v>75</v>
      </c>
      <c r="F396" s="171">
        <v>11875897</v>
      </c>
      <c r="G396" s="171">
        <v>12541</v>
      </c>
      <c r="H396">
        <v>947</v>
      </c>
    </row>
    <row r="397" spans="1:8" hidden="1" x14ac:dyDescent="0.25">
      <c r="A397" t="s">
        <v>186</v>
      </c>
      <c r="B397" t="s">
        <v>189</v>
      </c>
      <c r="C397" t="s">
        <v>78</v>
      </c>
      <c r="D397" t="s">
        <v>171</v>
      </c>
      <c r="E397" t="s">
        <v>75</v>
      </c>
      <c r="F397" s="171">
        <v>43082</v>
      </c>
      <c r="G397" s="171">
        <v>7180</v>
      </c>
      <c r="H397">
        <v>6</v>
      </c>
    </row>
    <row r="398" spans="1:8" hidden="1" x14ac:dyDescent="0.25">
      <c r="A398" t="s">
        <v>186</v>
      </c>
      <c r="B398" t="s">
        <v>189</v>
      </c>
      <c r="C398" t="s">
        <v>78</v>
      </c>
      <c r="D398" t="s">
        <v>174</v>
      </c>
      <c r="E398" t="s">
        <v>75</v>
      </c>
      <c r="F398" s="171">
        <v>794228</v>
      </c>
      <c r="G398" s="171">
        <v>22062</v>
      </c>
      <c r="H398">
        <v>36</v>
      </c>
    </row>
    <row r="399" spans="1:8" hidden="1" x14ac:dyDescent="0.25">
      <c r="A399" t="s">
        <v>186</v>
      </c>
      <c r="B399" t="s">
        <v>189</v>
      </c>
      <c r="C399" t="s">
        <v>78</v>
      </c>
      <c r="D399" t="s">
        <v>175</v>
      </c>
      <c r="E399" t="s">
        <v>75</v>
      </c>
      <c r="F399" s="171">
        <v>4398</v>
      </c>
      <c r="G399" s="171">
        <v>4398</v>
      </c>
      <c r="H399">
        <v>1</v>
      </c>
    </row>
    <row r="400" spans="1:8" hidden="1" x14ac:dyDescent="0.25">
      <c r="A400" t="s">
        <v>186</v>
      </c>
      <c r="B400" t="s">
        <v>189</v>
      </c>
      <c r="C400" t="s">
        <v>78</v>
      </c>
      <c r="D400" t="s">
        <v>176</v>
      </c>
      <c r="E400" t="s">
        <v>75</v>
      </c>
      <c r="F400" s="171">
        <v>1364364</v>
      </c>
      <c r="G400" s="171">
        <v>11276</v>
      </c>
      <c r="H400">
        <v>121</v>
      </c>
    </row>
    <row r="401" spans="1:8" hidden="1" x14ac:dyDescent="0.25">
      <c r="A401" t="s">
        <v>186</v>
      </c>
      <c r="B401" t="s">
        <v>189</v>
      </c>
      <c r="C401" t="s">
        <v>78</v>
      </c>
      <c r="D401" t="s">
        <v>177</v>
      </c>
      <c r="E401" t="s">
        <v>75</v>
      </c>
      <c r="F401" s="171">
        <v>7145205</v>
      </c>
      <c r="G401" s="171">
        <v>12513</v>
      </c>
      <c r="H401">
        <v>571</v>
      </c>
    </row>
    <row r="402" spans="1:8" hidden="1" x14ac:dyDescent="0.25">
      <c r="A402" t="s">
        <v>186</v>
      </c>
      <c r="B402" t="s">
        <v>189</v>
      </c>
      <c r="C402" t="s">
        <v>78</v>
      </c>
      <c r="D402" t="s">
        <v>178</v>
      </c>
      <c r="E402" t="s">
        <v>75</v>
      </c>
      <c r="F402" s="171">
        <v>3379850</v>
      </c>
      <c r="G402" s="171">
        <v>82435</v>
      </c>
      <c r="H402">
        <v>41</v>
      </c>
    </row>
    <row r="403" spans="1:8" hidden="1" x14ac:dyDescent="0.25">
      <c r="A403" t="s">
        <v>186</v>
      </c>
      <c r="B403" t="s">
        <v>189</v>
      </c>
      <c r="C403" t="s">
        <v>78</v>
      </c>
      <c r="D403" t="s">
        <v>180</v>
      </c>
      <c r="E403" t="s">
        <v>75</v>
      </c>
      <c r="F403" s="171">
        <v>13999780</v>
      </c>
      <c r="G403" s="171">
        <v>83332</v>
      </c>
      <c r="H403">
        <v>168</v>
      </c>
    </row>
    <row r="404" spans="1:8" hidden="1" x14ac:dyDescent="0.25">
      <c r="A404" t="s">
        <v>186</v>
      </c>
      <c r="B404" t="s">
        <v>189</v>
      </c>
      <c r="C404" t="s">
        <v>78</v>
      </c>
      <c r="D404" t="s">
        <v>184</v>
      </c>
      <c r="E404" t="s">
        <v>75</v>
      </c>
      <c r="F404" s="171">
        <v>21296</v>
      </c>
      <c r="G404" s="171">
        <v>3042</v>
      </c>
      <c r="H404">
        <v>7</v>
      </c>
    </row>
    <row r="405" spans="1:8" hidden="1" x14ac:dyDescent="0.25">
      <c r="A405" t="s">
        <v>186</v>
      </c>
      <c r="B405" t="s">
        <v>189</v>
      </c>
      <c r="C405" t="s">
        <v>78</v>
      </c>
      <c r="D405" t="s">
        <v>185</v>
      </c>
      <c r="E405" t="s">
        <v>75</v>
      </c>
      <c r="F405" s="171">
        <v>23298</v>
      </c>
      <c r="G405" s="171">
        <v>11649</v>
      </c>
      <c r="H405">
        <v>2</v>
      </c>
    </row>
    <row r="406" spans="1:8" hidden="1" x14ac:dyDescent="0.25">
      <c r="A406" t="s">
        <v>71</v>
      </c>
      <c r="B406" t="s">
        <v>76</v>
      </c>
      <c r="C406" t="s">
        <v>78</v>
      </c>
      <c r="D406" t="s">
        <v>79</v>
      </c>
      <c r="E406" t="s">
        <v>75</v>
      </c>
      <c r="F406" s="171">
        <v>567217</v>
      </c>
      <c r="G406" s="171">
        <v>56722</v>
      </c>
      <c r="H406">
        <v>10</v>
      </c>
    </row>
    <row r="407" spans="1:8" hidden="1" x14ac:dyDescent="0.25">
      <c r="A407" t="s">
        <v>71</v>
      </c>
      <c r="B407" t="s">
        <v>76</v>
      </c>
      <c r="C407" t="s">
        <v>78</v>
      </c>
      <c r="D407" t="s">
        <v>81</v>
      </c>
      <c r="E407" t="s">
        <v>75</v>
      </c>
      <c r="F407" s="171">
        <v>1138</v>
      </c>
    </row>
    <row r="408" spans="1:8" hidden="1" x14ac:dyDescent="0.25">
      <c r="A408" t="s">
        <v>71</v>
      </c>
      <c r="B408" t="s">
        <v>76</v>
      </c>
      <c r="C408" t="s">
        <v>78</v>
      </c>
      <c r="D408" t="s">
        <v>85</v>
      </c>
      <c r="E408" t="s">
        <v>75</v>
      </c>
      <c r="F408" s="171">
        <v>383791</v>
      </c>
      <c r="G408" s="171">
        <v>38379</v>
      </c>
      <c r="H408">
        <v>10</v>
      </c>
    </row>
    <row r="409" spans="1:8" hidden="1" x14ac:dyDescent="0.25">
      <c r="A409" t="s">
        <v>71</v>
      </c>
      <c r="B409" t="s">
        <v>76</v>
      </c>
      <c r="C409" t="s">
        <v>78</v>
      </c>
      <c r="D409" t="s">
        <v>88</v>
      </c>
      <c r="E409" t="s">
        <v>75</v>
      </c>
      <c r="F409" s="171">
        <v>70705</v>
      </c>
      <c r="G409" s="171">
        <v>23568</v>
      </c>
      <c r="H409">
        <v>3</v>
      </c>
    </row>
    <row r="410" spans="1:8" hidden="1" x14ac:dyDescent="0.25">
      <c r="A410" t="s">
        <v>71</v>
      </c>
      <c r="B410" t="s">
        <v>76</v>
      </c>
      <c r="C410" t="s">
        <v>78</v>
      </c>
      <c r="D410" t="s">
        <v>90</v>
      </c>
      <c r="E410" t="s">
        <v>75</v>
      </c>
      <c r="F410" s="171">
        <v>263830</v>
      </c>
      <c r="G410" s="171">
        <v>8511</v>
      </c>
      <c r="H410">
        <v>31</v>
      </c>
    </row>
    <row r="411" spans="1:8" hidden="1" x14ac:dyDescent="0.25">
      <c r="A411" t="s">
        <v>71</v>
      </c>
      <c r="B411" t="s">
        <v>76</v>
      </c>
      <c r="C411" t="s">
        <v>78</v>
      </c>
      <c r="D411" t="s">
        <v>92</v>
      </c>
      <c r="E411" t="s">
        <v>75</v>
      </c>
      <c r="F411" s="171">
        <v>7003</v>
      </c>
      <c r="G411" s="171">
        <v>3501</v>
      </c>
      <c r="H411">
        <v>2</v>
      </c>
    </row>
    <row r="412" spans="1:8" hidden="1" x14ac:dyDescent="0.25">
      <c r="A412" t="s">
        <v>71</v>
      </c>
      <c r="B412" t="s">
        <v>76</v>
      </c>
      <c r="C412" t="s">
        <v>78</v>
      </c>
      <c r="D412" t="s">
        <v>93</v>
      </c>
      <c r="E412" t="s">
        <v>75</v>
      </c>
      <c r="F412" s="171">
        <v>29130</v>
      </c>
      <c r="G412" s="171">
        <v>3641</v>
      </c>
      <c r="H412">
        <v>8</v>
      </c>
    </row>
    <row r="413" spans="1:8" hidden="1" x14ac:dyDescent="0.25">
      <c r="A413" t="s">
        <v>71</v>
      </c>
      <c r="B413" t="s">
        <v>76</v>
      </c>
      <c r="C413" t="s">
        <v>78</v>
      </c>
      <c r="D413" t="s">
        <v>94</v>
      </c>
      <c r="E413" t="s">
        <v>75</v>
      </c>
      <c r="F413" s="171">
        <v>857</v>
      </c>
      <c r="G413" s="171">
        <v>857</v>
      </c>
      <c r="H413">
        <v>1</v>
      </c>
    </row>
    <row r="414" spans="1:8" hidden="1" x14ac:dyDescent="0.25">
      <c r="A414" t="s">
        <v>71</v>
      </c>
      <c r="B414" t="s">
        <v>76</v>
      </c>
      <c r="C414" t="s">
        <v>78</v>
      </c>
      <c r="D414" t="s">
        <v>96</v>
      </c>
      <c r="E414" t="s">
        <v>75</v>
      </c>
      <c r="F414" s="171">
        <v>1040</v>
      </c>
      <c r="G414" s="171">
        <v>1040</v>
      </c>
      <c r="H414">
        <v>1</v>
      </c>
    </row>
    <row r="415" spans="1:8" hidden="1" x14ac:dyDescent="0.25">
      <c r="A415" t="s">
        <v>71</v>
      </c>
      <c r="B415" t="s">
        <v>76</v>
      </c>
      <c r="C415" t="s">
        <v>78</v>
      </c>
      <c r="D415" t="s">
        <v>97</v>
      </c>
      <c r="E415" t="s">
        <v>75</v>
      </c>
      <c r="F415" s="171">
        <v>41666</v>
      </c>
      <c r="G415" s="171">
        <v>20833</v>
      </c>
      <c r="H415">
        <v>2</v>
      </c>
    </row>
    <row r="416" spans="1:8" hidden="1" x14ac:dyDescent="0.25">
      <c r="A416" t="s">
        <v>71</v>
      </c>
      <c r="B416" t="s">
        <v>76</v>
      </c>
      <c r="C416" t="s">
        <v>78</v>
      </c>
      <c r="D416" t="s">
        <v>98</v>
      </c>
      <c r="E416" t="s">
        <v>75</v>
      </c>
      <c r="F416" s="171">
        <v>42405</v>
      </c>
      <c r="G416" s="171">
        <v>10601</v>
      </c>
      <c r="H416">
        <v>4</v>
      </c>
    </row>
    <row r="417" spans="1:8" hidden="1" x14ac:dyDescent="0.25">
      <c r="A417" t="s">
        <v>71</v>
      </c>
      <c r="B417" t="s">
        <v>76</v>
      </c>
      <c r="C417" t="s">
        <v>78</v>
      </c>
      <c r="D417" t="s">
        <v>99</v>
      </c>
      <c r="E417" t="s">
        <v>75</v>
      </c>
      <c r="F417" s="171">
        <v>196704</v>
      </c>
      <c r="G417" s="171">
        <v>8196</v>
      </c>
      <c r="H417">
        <v>24</v>
      </c>
    </row>
    <row r="418" spans="1:8" hidden="1" x14ac:dyDescent="0.25">
      <c r="A418" t="s">
        <v>71</v>
      </c>
      <c r="B418" t="s">
        <v>76</v>
      </c>
      <c r="C418" t="s">
        <v>78</v>
      </c>
      <c r="D418" t="s">
        <v>104</v>
      </c>
      <c r="E418" t="s">
        <v>75</v>
      </c>
      <c r="F418" s="171">
        <v>5779</v>
      </c>
      <c r="G418" s="171">
        <v>5779</v>
      </c>
      <c r="H418">
        <v>1</v>
      </c>
    </row>
    <row r="419" spans="1:8" hidden="1" x14ac:dyDescent="0.25">
      <c r="A419" t="s">
        <v>71</v>
      </c>
      <c r="B419" t="s">
        <v>76</v>
      </c>
      <c r="C419" t="s">
        <v>78</v>
      </c>
      <c r="D419" t="s">
        <v>105</v>
      </c>
      <c r="E419" t="s">
        <v>75</v>
      </c>
      <c r="F419" s="171">
        <v>1677434</v>
      </c>
      <c r="G419" s="171">
        <v>16944</v>
      </c>
      <c r="H419">
        <v>99</v>
      </c>
    </row>
    <row r="420" spans="1:8" hidden="1" x14ac:dyDescent="0.25">
      <c r="A420" t="s">
        <v>71</v>
      </c>
      <c r="B420" t="s">
        <v>76</v>
      </c>
      <c r="C420" t="s">
        <v>78</v>
      </c>
      <c r="D420" t="s">
        <v>106</v>
      </c>
      <c r="E420" t="s">
        <v>75</v>
      </c>
      <c r="F420" s="171">
        <v>2685</v>
      </c>
      <c r="G420" s="171">
        <v>2685</v>
      </c>
      <c r="H420">
        <v>1</v>
      </c>
    </row>
    <row r="421" spans="1:8" hidden="1" x14ac:dyDescent="0.25">
      <c r="A421" t="s">
        <v>71</v>
      </c>
      <c r="B421" t="s">
        <v>76</v>
      </c>
      <c r="C421" t="s">
        <v>78</v>
      </c>
      <c r="D421" t="s">
        <v>108</v>
      </c>
      <c r="E421" t="s">
        <v>75</v>
      </c>
      <c r="F421" s="171">
        <v>2684367</v>
      </c>
      <c r="G421" s="171">
        <v>671092</v>
      </c>
      <c r="H421">
        <v>4</v>
      </c>
    </row>
    <row r="422" spans="1:8" hidden="1" x14ac:dyDescent="0.25">
      <c r="A422" t="s">
        <v>71</v>
      </c>
      <c r="B422" t="s">
        <v>76</v>
      </c>
      <c r="C422" t="s">
        <v>78</v>
      </c>
      <c r="D422" t="s">
        <v>112</v>
      </c>
      <c r="E422" t="s">
        <v>75</v>
      </c>
      <c r="F422" s="171">
        <v>39108</v>
      </c>
      <c r="G422" s="171">
        <v>19554</v>
      </c>
      <c r="H422">
        <v>2</v>
      </c>
    </row>
    <row r="423" spans="1:8" hidden="1" x14ac:dyDescent="0.25">
      <c r="A423" t="s">
        <v>71</v>
      </c>
      <c r="B423" t="s">
        <v>76</v>
      </c>
      <c r="C423" t="s">
        <v>78</v>
      </c>
      <c r="D423" t="s">
        <v>113</v>
      </c>
      <c r="E423" t="s">
        <v>75</v>
      </c>
      <c r="F423" s="171">
        <v>7855</v>
      </c>
      <c r="G423" s="171">
        <v>3928</v>
      </c>
      <c r="H423">
        <v>2</v>
      </c>
    </row>
    <row r="424" spans="1:8" hidden="1" x14ac:dyDescent="0.25">
      <c r="A424" t="s">
        <v>71</v>
      </c>
      <c r="B424" t="s">
        <v>76</v>
      </c>
      <c r="C424" t="s">
        <v>78</v>
      </c>
      <c r="D424" t="s">
        <v>114</v>
      </c>
      <c r="E424" t="s">
        <v>75</v>
      </c>
      <c r="F424" s="171">
        <v>711</v>
      </c>
      <c r="G424" s="171">
        <v>711</v>
      </c>
      <c r="H424">
        <v>1</v>
      </c>
    </row>
    <row r="425" spans="1:8" hidden="1" x14ac:dyDescent="0.25">
      <c r="A425" t="s">
        <v>71</v>
      </c>
      <c r="B425" t="s">
        <v>76</v>
      </c>
      <c r="C425" t="s">
        <v>78</v>
      </c>
      <c r="D425" t="s">
        <v>118</v>
      </c>
      <c r="E425" t="s">
        <v>75</v>
      </c>
      <c r="F425" s="171">
        <v>183417</v>
      </c>
      <c r="G425" s="171">
        <v>45854</v>
      </c>
      <c r="H425">
        <v>4</v>
      </c>
    </row>
    <row r="426" spans="1:8" hidden="1" x14ac:dyDescent="0.25">
      <c r="A426" t="s">
        <v>71</v>
      </c>
      <c r="B426" t="s">
        <v>76</v>
      </c>
      <c r="C426" t="s">
        <v>78</v>
      </c>
      <c r="D426" t="s">
        <v>120</v>
      </c>
      <c r="E426" t="s">
        <v>75</v>
      </c>
      <c r="F426" s="171">
        <v>5780</v>
      </c>
      <c r="G426" s="171">
        <v>2890</v>
      </c>
      <c r="H426">
        <v>2</v>
      </c>
    </row>
    <row r="427" spans="1:8" hidden="1" x14ac:dyDescent="0.25">
      <c r="A427" t="s">
        <v>71</v>
      </c>
      <c r="B427" t="s">
        <v>76</v>
      </c>
      <c r="C427" t="s">
        <v>78</v>
      </c>
      <c r="D427" t="s">
        <v>122</v>
      </c>
      <c r="E427" t="s">
        <v>75</v>
      </c>
      <c r="F427" s="171">
        <v>32871</v>
      </c>
      <c r="G427" s="171">
        <v>32871</v>
      </c>
      <c r="H427">
        <v>1</v>
      </c>
    </row>
    <row r="428" spans="1:8" hidden="1" x14ac:dyDescent="0.25">
      <c r="A428" t="s">
        <v>71</v>
      </c>
      <c r="B428" t="s">
        <v>76</v>
      </c>
      <c r="C428" t="s">
        <v>78</v>
      </c>
      <c r="D428" t="s">
        <v>127</v>
      </c>
      <c r="E428" t="s">
        <v>75</v>
      </c>
      <c r="F428" s="171">
        <v>22719</v>
      </c>
      <c r="G428" s="171">
        <v>7573</v>
      </c>
      <c r="H428">
        <v>3</v>
      </c>
    </row>
    <row r="429" spans="1:8" hidden="1" x14ac:dyDescent="0.25">
      <c r="A429" t="s">
        <v>71</v>
      </c>
      <c r="B429" t="s">
        <v>76</v>
      </c>
      <c r="C429" t="s">
        <v>78</v>
      </c>
      <c r="D429" t="s">
        <v>129</v>
      </c>
      <c r="E429" t="s">
        <v>75</v>
      </c>
      <c r="F429" s="171">
        <v>1162569</v>
      </c>
      <c r="G429" s="171">
        <v>15501</v>
      </c>
      <c r="H429">
        <v>75</v>
      </c>
    </row>
    <row r="430" spans="1:8" hidden="1" x14ac:dyDescent="0.25">
      <c r="A430" t="s">
        <v>71</v>
      </c>
      <c r="B430" t="s">
        <v>76</v>
      </c>
      <c r="C430" t="s">
        <v>78</v>
      </c>
      <c r="D430" t="s">
        <v>131</v>
      </c>
      <c r="E430" t="s">
        <v>75</v>
      </c>
      <c r="F430" s="171">
        <v>921551</v>
      </c>
      <c r="G430" s="171">
        <v>57597</v>
      </c>
      <c r="H430">
        <v>16</v>
      </c>
    </row>
    <row r="431" spans="1:8" hidden="1" x14ac:dyDescent="0.25">
      <c r="A431" t="s">
        <v>71</v>
      </c>
      <c r="B431" t="s">
        <v>76</v>
      </c>
      <c r="C431" t="s">
        <v>78</v>
      </c>
      <c r="D431" t="s">
        <v>134</v>
      </c>
      <c r="E431" t="s">
        <v>75</v>
      </c>
      <c r="F431" s="171">
        <v>14537</v>
      </c>
      <c r="G431" s="171">
        <v>2423</v>
      </c>
      <c r="H431">
        <v>6</v>
      </c>
    </row>
    <row r="432" spans="1:8" hidden="1" x14ac:dyDescent="0.25">
      <c r="A432" t="s">
        <v>71</v>
      </c>
      <c r="B432" t="s">
        <v>76</v>
      </c>
      <c r="C432" t="s">
        <v>78</v>
      </c>
      <c r="D432" t="s">
        <v>135</v>
      </c>
      <c r="E432" t="s">
        <v>75</v>
      </c>
      <c r="F432" s="171">
        <v>46616</v>
      </c>
      <c r="G432" s="171">
        <v>7769</v>
      </c>
      <c r="H432">
        <v>6</v>
      </c>
    </row>
    <row r="433" spans="1:8" hidden="1" x14ac:dyDescent="0.25">
      <c r="A433" t="s">
        <v>71</v>
      </c>
      <c r="B433" t="s">
        <v>76</v>
      </c>
      <c r="C433" t="s">
        <v>78</v>
      </c>
      <c r="D433" t="s">
        <v>137</v>
      </c>
      <c r="E433" t="s">
        <v>75</v>
      </c>
      <c r="F433" s="171">
        <v>629706</v>
      </c>
      <c r="G433" s="171">
        <v>157426</v>
      </c>
      <c r="H433">
        <v>4</v>
      </c>
    </row>
    <row r="434" spans="1:8" hidden="1" x14ac:dyDescent="0.25">
      <c r="A434" t="s">
        <v>71</v>
      </c>
      <c r="B434" t="s">
        <v>76</v>
      </c>
      <c r="C434" t="s">
        <v>78</v>
      </c>
      <c r="D434" t="s">
        <v>141</v>
      </c>
      <c r="E434" t="s">
        <v>75</v>
      </c>
      <c r="F434" s="171">
        <v>2955</v>
      </c>
      <c r="G434" s="171">
        <v>2955</v>
      </c>
      <c r="H434">
        <v>1</v>
      </c>
    </row>
    <row r="435" spans="1:8" hidden="1" x14ac:dyDescent="0.25">
      <c r="A435" t="s">
        <v>71</v>
      </c>
      <c r="B435" t="s">
        <v>76</v>
      </c>
      <c r="C435" t="s">
        <v>78</v>
      </c>
      <c r="D435" t="s">
        <v>143</v>
      </c>
      <c r="E435" t="s">
        <v>75</v>
      </c>
      <c r="F435" s="171">
        <v>23776</v>
      </c>
      <c r="G435" s="171">
        <v>11888</v>
      </c>
      <c r="H435">
        <v>2</v>
      </c>
    </row>
    <row r="436" spans="1:8" hidden="1" x14ac:dyDescent="0.25">
      <c r="A436" t="s">
        <v>71</v>
      </c>
      <c r="B436" t="s">
        <v>76</v>
      </c>
      <c r="C436" t="s">
        <v>78</v>
      </c>
      <c r="D436" t="s">
        <v>144</v>
      </c>
      <c r="E436" t="s">
        <v>75</v>
      </c>
      <c r="F436" s="171">
        <v>40916</v>
      </c>
      <c r="G436" s="171">
        <v>20458</v>
      </c>
      <c r="H436">
        <v>2</v>
      </c>
    </row>
    <row r="437" spans="1:8" hidden="1" x14ac:dyDescent="0.25">
      <c r="A437" t="s">
        <v>71</v>
      </c>
      <c r="B437" t="s">
        <v>76</v>
      </c>
      <c r="C437" t="s">
        <v>78</v>
      </c>
      <c r="D437" t="s">
        <v>145</v>
      </c>
      <c r="E437" t="s">
        <v>75</v>
      </c>
      <c r="F437" s="171">
        <v>143</v>
      </c>
      <c r="G437" s="171">
        <v>143</v>
      </c>
      <c r="H437">
        <v>1</v>
      </c>
    </row>
    <row r="438" spans="1:8" hidden="1" x14ac:dyDescent="0.25">
      <c r="A438" t="s">
        <v>71</v>
      </c>
      <c r="B438" t="s">
        <v>76</v>
      </c>
      <c r="C438" t="s">
        <v>78</v>
      </c>
      <c r="D438" t="s">
        <v>146</v>
      </c>
      <c r="E438" t="s">
        <v>75</v>
      </c>
      <c r="F438" s="171">
        <v>2808</v>
      </c>
      <c r="G438" s="171">
        <v>2808</v>
      </c>
      <c r="H438">
        <v>1</v>
      </c>
    </row>
    <row r="439" spans="1:8" hidden="1" x14ac:dyDescent="0.25">
      <c r="A439" t="s">
        <v>71</v>
      </c>
      <c r="B439" t="s">
        <v>76</v>
      </c>
      <c r="C439" t="s">
        <v>78</v>
      </c>
      <c r="D439" t="s">
        <v>149</v>
      </c>
      <c r="E439" t="s">
        <v>75</v>
      </c>
      <c r="F439" s="171">
        <v>1893887</v>
      </c>
      <c r="G439" s="171">
        <v>9614</v>
      </c>
      <c r="H439">
        <v>197</v>
      </c>
    </row>
    <row r="440" spans="1:8" hidden="1" x14ac:dyDescent="0.25">
      <c r="A440" t="s">
        <v>71</v>
      </c>
      <c r="B440" t="s">
        <v>76</v>
      </c>
      <c r="C440" t="s">
        <v>78</v>
      </c>
      <c r="D440" t="s">
        <v>150</v>
      </c>
      <c r="E440" t="s">
        <v>75</v>
      </c>
      <c r="F440" s="171">
        <v>105537</v>
      </c>
      <c r="G440" s="171">
        <v>10554</v>
      </c>
      <c r="H440">
        <v>10</v>
      </c>
    </row>
    <row r="441" spans="1:8" hidden="1" x14ac:dyDescent="0.25">
      <c r="A441" t="s">
        <v>71</v>
      </c>
      <c r="B441" t="s">
        <v>76</v>
      </c>
      <c r="C441" t="s">
        <v>78</v>
      </c>
      <c r="D441" t="s">
        <v>151</v>
      </c>
      <c r="E441" t="s">
        <v>75</v>
      </c>
      <c r="F441" s="171">
        <v>250125</v>
      </c>
      <c r="G441" s="171">
        <v>8069</v>
      </c>
      <c r="H441">
        <v>31</v>
      </c>
    </row>
    <row r="442" spans="1:8" hidden="1" x14ac:dyDescent="0.25">
      <c r="A442" t="s">
        <v>71</v>
      </c>
      <c r="B442" t="s">
        <v>76</v>
      </c>
      <c r="C442" t="s">
        <v>78</v>
      </c>
      <c r="D442" t="s">
        <v>153</v>
      </c>
      <c r="E442" t="s">
        <v>75</v>
      </c>
      <c r="F442" s="171">
        <v>79784</v>
      </c>
      <c r="G442" s="171">
        <v>39892</v>
      </c>
      <c r="H442">
        <v>2</v>
      </c>
    </row>
    <row r="443" spans="1:8" hidden="1" x14ac:dyDescent="0.25">
      <c r="A443" t="s">
        <v>71</v>
      </c>
      <c r="B443" t="s">
        <v>76</v>
      </c>
      <c r="C443" t="s">
        <v>78</v>
      </c>
      <c r="D443" t="s">
        <v>155</v>
      </c>
      <c r="E443" t="s">
        <v>75</v>
      </c>
      <c r="F443" s="171">
        <v>361980</v>
      </c>
      <c r="G443" s="171">
        <v>20110</v>
      </c>
      <c r="H443">
        <v>18</v>
      </c>
    </row>
    <row r="444" spans="1:8" hidden="1" x14ac:dyDescent="0.25">
      <c r="A444" t="s">
        <v>71</v>
      </c>
      <c r="B444" t="s">
        <v>76</v>
      </c>
      <c r="C444" t="s">
        <v>78</v>
      </c>
      <c r="D444" t="s">
        <v>158</v>
      </c>
      <c r="E444" t="s">
        <v>75</v>
      </c>
      <c r="F444" s="171">
        <v>837419</v>
      </c>
      <c r="G444" s="171">
        <v>64417</v>
      </c>
      <c r="H444">
        <v>13</v>
      </c>
    </row>
    <row r="445" spans="1:8" hidden="1" x14ac:dyDescent="0.25">
      <c r="A445" t="s">
        <v>71</v>
      </c>
      <c r="B445" t="s">
        <v>76</v>
      </c>
      <c r="C445" t="s">
        <v>78</v>
      </c>
      <c r="D445" t="s">
        <v>159</v>
      </c>
      <c r="E445" t="s">
        <v>75</v>
      </c>
      <c r="F445" s="171">
        <v>8640</v>
      </c>
      <c r="G445" s="171">
        <v>2160</v>
      </c>
      <c r="H445">
        <v>4</v>
      </c>
    </row>
    <row r="446" spans="1:8" hidden="1" x14ac:dyDescent="0.25">
      <c r="A446" t="s">
        <v>71</v>
      </c>
      <c r="B446" t="s">
        <v>76</v>
      </c>
      <c r="C446" t="s">
        <v>78</v>
      </c>
      <c r="D446" t="s">
        <v>162</v>
      </c>
      <c r="E446" t="s">
        <v>75</v>
      </c>
      <c r="F446" s="171">
        <v>16988892</v>
      </c>
      <c r="G446" s="171">
        <v>99350</v>
      </c>
      <c r="H446">
        <v>171</v>
      </c>
    </row>
    <row r="447" spans="1:8" hidden="1" x14ac:dyDescent="0.25">
      <c r="A447" t="s">
        <v>71</v>
      </c>
      <c r="B447" t="s">
        <v>76</v>
      </c>
      <c r="C447" t="s">
        <v>78</v>
      </c>
      <c r="D447" t="s">
        <v>163</v>
      </c>
      <c r="E447" t="s">
        <v>75</v>
      </c>
      <c r="F447" s="171">
        <v>41357</v>
      </c>
      <c r="G447" s="171">
        <v>8271</v>
      </c>
      <c r="H447">
        <v>5</v>
      </c>
    </row>
    <row r="448" spans="1:8" hidden="1" x14ac:dyDescent="0.25">
      <c r="A448" t="s">
        <v>71</v>
      </c>
      <c r="B448" t="s">
        <v>76</v>
      </c>
      <c r="C448" t="s">
        <v>78</v>
      </c>
      <c r="D448" t="s">
        <v>165</v>
      </c>
      <c r="E448" t="s">
        <v>75</v>
      </c>
      <c r="F448" s="171">
        <v>565</v>
      </c>
      <c r="G448" s="171">
        <v>565</v>
      </c>
      <c r="H448">
        <v>1</v>
      </c>
    </row>
    <row r="449" spans="1:8" hidden="1" x14ac:dyDescent="0.25">
      <c r="A449" t="s">
        <v>71</v>
      </c>
      <c r="B449" t="s">
        <v>76</v>
      </c>
      <c r="C449" t="s">
        <v>78</v>
      </c>
      <c r="D449" t="s">
        <v>169</v>
      </c>
      <c r="E449" t="s">
        <v>75</v>
      </c>
      <c r="F449" s="171">
        <v>14081524</v>
      </c>
      <c r="G449" s="171">
        <v>13671</v>
      </c>
      <c r="H449">
        <v>1030</v>
      </c>
    </row>
    <row r="450" spans="1:8" hidden="1" x14ac:dyDescent="0.25">
      <c r="A450" t="s">
        <v>71</v>
      </c>
      <c r="B450" t="s">
        <v>76</v>
      </c>
      <c r="C450" t="s">
        <v>78</v>
      </c>
      <c r="D450" t="s">
        <v>171</v>
      </c>
      <c r="E450" t="s">
        <v>75</v>
      </c>
      <c r="F450" s="171">
        <v>65109</v>
      </c>
      <c r="G450" s="171">
        <v>10851</v>
      </c>
      <c r="H450">
        <v>6</v>
      </c>
    </row>
    <row r="451" spans="1:8" hidden="1" x14ac:dyDescent="0.25">
      <c r="A451" t="s">
        <v>71</v>
      </c>
      <c r="B451" t="s">
        <v>76</v>
      </c>
      <c r="C451" t="s">
        <v>78</v>
      </c>
      <c r="D451" t="s">
        <v>174</v>
      </c>
      <c r="E451" t="s">
        <v>75</v>
      </c>
      <c r="F451" s="171">
        <v>962030</v>
      </c>
      <c r="G451" s="171">
        <v>20469</v>
      </c>
      <c r="H451">
        <v>47</v>
      </c>
    </row>
    <row r="452" spans="1:8" hidden="1" x14ac:dyDescent="0.25">
      <c r="A452" t="s">
        <v>71</v>
      </c>
      <c r="B452" t="s">
        <v>76</v>
      </c>
      <c r="C452" t="s">
        <v>78</v>
      </c>
      <c r="D452" t="s">
        <v>175</v>
      </c>
      <c r="E452" t="s">
        <v>75</v>
      </c>
      <c r="F452" s="171">
        <v>31470</v>
      </c>
      <c r="G452" s="171">
        <v>5245</v>
      </c>
      <c r="H452">
        <v>6</v>
      </c>
    </row>
    <row r="453" spans="1:8" hidden="1" x14ac:dyDescent="0.25">
      <c r="A453" t="s">
        <v>71</v>
      </c>
      <c r="B453" t="s">
        <v>76</v>
      </c>
      <c r="C453" t="s">
        <v>78</v>
      </c>
      <c r="D453" t="s">
        <v>176</v>
      </c>
      <c r="E453" t="s">
        <v>75</v>
      </c>
      <c r="F453" s="171">
        <v>1492202</v>
      </c>
      <c r="G453" s="171">
        <v>12540</v>
      </c>
      <c r="H453">
        <v>119</v>
      </c>
    </row>
    <row r="454" spans="1:8" hidden="1" x14ac:dyDescent="0.25">
      <c r="A454" t="s">
        <v>71</v>
      </c>
      <c r="B454" t="s">
        <v>76</v>
      </c>
      <c r="C454" t="s">
        <v>78</v>
      </c>
      <c r="D454" t="s">
        <v>177</v>
      </c>
      <c r="E454" t="s">
        <v>75</v>
      </c>
      <c r="F454" s="171">
        <v>7780082</v>
      </c>
      <c r="G454" s="171">
        <v>12119</v>
      </c>
      <c r="H454">
        <v>642</v>
      </c>
    </row>
    <row r="455" spans="1:8" hidden="1" x14ac:dyDescent="0.25">
      <c r="A455" t="s">
        <v>71</v>
      </c>
      <c r="B455" t="s">
        <v>76</v>
      </c>
      <c r="C455" t="s">
        <v>78</v>
      </c>
      <c r="D455" t="s">
        <v>178</v>
      </c>
      <c r="E455" t="s">
        <v>75</v>
      </c>
      <c r="F455" s="171">
        <v>3800363</v>
      </c>
      <c r="G455" s="171">
        <v>80859</v>
      </c>
      <c r="H455">
        <v>47</v>
      </c>
    </row>
    <row r="456" spans="1:8" hidden="1" x14ac:dyDescent="0.25">
      <c r="A456" t="s">
        <v>71</v>
      </c>
      <c r="B456" t="s">
        <v>76</v>
      </c>
      <c r="C456" t="s">
        <v>78</v>
      </c>
      <c r="D456" t="s">
        <v>180</v>
      </c>
      <c r="E456" t="s">
        <v>75</v>
      </c>
      <c r="F456" s="171">
        <v>12729313</v>
      </c>
      <c r="G456" s="171">
        <v>82658</v>
      </c>
      <c r="H456">
        <v>154</v>
      </c>
    </row>
    <row r="457" spans="1:8" hidden="1" x14ac:dyDescent="0.25">
      <c r="A457" t="s">
        <v>71</v>
      </c>
      <c r="B457" t="s">
        <v>76</v>
      </c>
      <c r="C457" t="s">
        <v>78</v>
      </c>
      <c r="D457" t="s">
        <v>183</v>
      </c>
      <c r="E457" t="s">
        <v>75</v>
      </c>
      <c r="F457" s="171">
        <v>11755</v>
      </c>
      <c r="G457" s="171">
        <v>11755</v>
      </c>
      <c r="H457">
        <v>1</v>
      </c>
    </row>
    <row r="458" spans="1:8" hidden="1" x14ac:dyDescent="0.25">
      <c r="A458" t="s">
        <v>71</v>
      </c>
      <c r="B458" t="s">
        <v>76</v>
      </c>
      <c r="C458" t="s">
        <v>78</v>
      </c>
      <c r="D458" t="s">
        <v>184</v>
      </c>
      <c r="E458" t="s">
        <v>75</v>
      </c>
      <c r="F458" s="171">
        <v>103396</v>
      </c>
      <c r="G458" s="171">
        <v>12924</v>
      </c>
      <c r="H458">
        <v>8</v>
      </c>
    </row>
    <row r="459" spans="1:8" hidden="1" x14ac:dyDescent="0.25">
      <c r="A459" t="s">
        <v>71</v>
      </c>
      <c r="B459" t="s">
        <v>76</v>
      </c>
      <c r="C459" t="s">
        <v>78</v>
      </c>
      <c r="D459" t="s">
        <v>185</v>
      </c>
      <c r="E459" t="s">
        <v>75</v>
      </c>
      <c r="F459" s="171">
        <v>19182</v>
      </c>
      <c r="G459" s="171">
        <v>3836</v>
      </c>
      <c r="H459">
        <v>5</v>
      </c>
    </row>
    <row r="460" spans="1:8" hidden="1" x14ac:dyDescent="0.25">
      <c r="A460" t="s">
        <v>71</v>
      </c>
      <c r="B460" t="s">
        <v>72</v>
      </c>
      <c r="C460" t="s">
        <v>78</v>
      </c>
      <c r="D460" t="s">
        <v>79</v>
      </c>
      <c r="E460" t="s">
        <v>75</v>
      </c>
      <c r="F460" s="171">
        <v>501746</v>
      </c>
      <c r="G460" s="171">
        <v>55750</v>
      </c>
      <c r="H460">
        <v>9</v>
      </c>
    </row>
    <row r="461" spans="1:8" hidden="1" x14ac:dyDescent="0.25">
      <c r="A461" t="s">
        <v>71</v>
      </c>
      <c r="B461" t="s">
        <v>72</v>
      </c>
      <c r="C461" t="s">
        <v>78</v>
      </c>
      <c r="D461" t="s">
        <v>81</v>
      </c>
      <c r="E461" t="s">
        <v>75</v>
      </c>
      <c r="F461" s="171">
        <v>2702</v>
      </c>
    </row>
    <row r="462" spans="1:8" hidden="1" x14ac:dyDescent="0.25">
      <c r="A462" t="s">
        <v>71</v>
      </c>
      <c r="B462" t="s">
        <v>72</v>
      </c>
      <c r="C462" t="s">
        <v>78</v>
      </c>
      <c r="D462" t="s">
        <v>85</v>
      </c>
      <c r="E462" t="s">
        <v>75</v>
      </c>
      <c r="F462" s="171">
        <v>512127</v>
      </c>
      <c r="G462" s="171">
        <v>56903</v>
      </c>
      <c r="H462">
        <v>9</v>
      </c>
    </row>
    <row r="463" spans="1:8" hidden="1" x14ac:dyDescent="0.25">
      <c r="A463" t="s">
        <v>71</v>
      </c>
      <c r="B463" t="s">
        <v>72</v>
      </c>
      <c r="C463" t="s">
        <v>78</v>
      </c>
      <c r="D463" t="s">
        <v>88</v>
      </c>
      <c r="E463" t="s">
        <v>75</v>
      </c>
      <c r="F463" s="171">
        <v>21763</v>
      </c>
      <c r="G463" s="171">
        <v>5441</v>
      </c>
      <c r="H463">
        <v>4</v>
      </c>
    </row>
    <row r="464" spans="1:8" hidden="1" x14ac:dyDescent="0.25">
      <c r="A464" t="s">
        <v>71</v>
      </c>
      <c r="B464" t="s">
        <v>72</v>
      </c>
      <c r="C464" t="s">
        <v>78</v>
      </c>
      <c r="D464" t="s">
        <v>90</v>
      </c>
      <c r="E464" t="s">
        <v>75</v>
      </c>
      <c r="F464" s="171">
        <v>1032106</v>
      </c>
      <c r="G464" s="171">
        <v>30356</v>
      </c>
      <c r="H464">
        <v>34</v>
      </c>
    </row>
    <row r="465" spans="1:8" hidden="1" x14ac:dyDescent="0.25">
      <c r="A465" t="s">
        <v>71</v>
      </c>
      <c r="B465" t="s">
        <v>72</v>
      </c>
      <c r="C465" t="s">
        <v>78</v>
      </c>
      <c r="D465" t="s">
        <v>93</v>
      </c>
      <c r="E465" t="s">
        <v>75</v>
      </c>
      <c r="F465" s="171">
        <v>66699</v>
      </c>
      <c r="G465" s="171">
        <v>13340</v>
      </c>
      <c r="H465">
        <v>5</v>
      </c>
    </row>
    <row r="466" spans="1:8" hidden="1" x14ac:dyDescent="0.25">
      <c r="A466" t="s">
        <v>71</v>
      </c>
      <c r="B466" t="s">
        <v>72</v>
      </c>
      <c r="C466" t="s">
        <v>78</v>
      </c>
      <c r="D466" t="s">
        <v>94</v>
      </c>
      <c r="E466" t="s">
        <v>75</v>
      </c>
      <c r="F466" s="171">
        <v>123</v>
      </c>
      <c r="G466" s="171">
        <v>123</v>
      </c>
      <c r="H466">
        <v>1</v>
      </c>
    </row>
    <row r="467" spans="1:8" hidden="1" x14ac:dyDescent="0.25">
      <c r="A467" t="s">
        <v>71</v>
      </c>
      <c r="B467" t="s">
        <v>72</v>
      </c>
      <c r="C467" t="s">
        <v>78</v>
      </c>
      <c r="D467" t="s">
        <v>95</v>
      </c>
      <c r="E467" t="s">
        <v>75</v>
      </c>
      <c r="F467" s="171">
        <v>270</v>
      </c>
      <c r="G467" s="171">
        <v>270</v>
      </c>
      <c r="H467">
        <v>1</v>
      </c>
    </row>
    <row r="468" spans="1:8" hidden="1" x14ac:dyDescent="0.25">
      <c r="A468" t="s">
        <v>71</v>
      </c>
      <c r="B468" t="s">
        <v>72</v>
      </c>
      <c r="C468" t="s">
        <v>78</v>
      </c>
      <c r="D468" t="s">
        <v>97</v>
      </c>
      <c r="E468" t="s">
        <v>75</v>
      </c>
      <c r="F468" s="171">
        <v>20097</v>
      </c>
      <c r="G468" s="171">
        <v>6699</v>
      </c>
      <c r="H468">
        <v>3</v>
      </c>
    </row>
    <row r="469" spans="1:8" hidden="1" x14ac:dyDescent="0.25">
      <c r="A469" t="s">
        <v>71</v>
      </c>
      <c r="B469" t="s">
        <v>72</v>
      </c>
      <c r="C469" t="s">
        <v>78</v>
      </c>
      <c r="D469" t="s">
        <v>98</v>
      </c>
      <c r="E469" t="s">
        <v>75</v>
      </c>
      <c r="F469" s="171">
        <v>1766</v>
      </c>
      <c r="G469" s="171">
        <v>883</v>
      </c>
      <c r="H469">
        <v>2</v>
      </c>
    </row>
    <row r="470" spans="1:8" hidden="1" x14ac:dyDescent="0.25">
      <c r="A470" t="s">
        <v>71</v>
      </c>
      <c r="B470" t="s">
        <v>72</v>
      </c>
      <c r="C470" t="s">
        <v>78</v>
      </c>
      <c r="D470" t="s">
        <v>99</v>
      </c>
      <c r="E470" t="s">
        <v>75</v>
      </c>
      <c r="F470" s="171">
        <v>265886</v>
      </c>
      <c r="G470" s="171">
        <v>11560</v>
      </c>
      <c r="H470">
        <v>23</v>
      </c>
    </row>
    <row r="471" spans="1:8" hidden="1" x14ac:dyDescent="0.25">
      <c r="A471" t="s">
        <v>71</v>
      </c>
      <c r="B471" t="s">
        <v>72</v>
      </c>
      <c r="C471" t="s">
        <v>78</v>
      </c>
      <c r="D471" t="s">
        <v>104</v>
      </c>
      <c r="E471" t="s">
        <v>75</v>
      </c>
      <c r="F471" s="171">
        <v>6400</v>
      </c>
      <c r="G471" s="171">
        <v>6400</v>
      </c>
      <c r="H471">
        <v>1</v>
      </c>
    </row>
    <row r="472" spans="1:8" hidden="1" x14ac:dyDescent="0.25">
      <c r="A472" t="s">
        <v>71</v>
      </c>
      <c r="B472" t="s">
        <v>72</v>
      </c>
      <c r="C472" t="s">
        <v>78</v>
      </c>
      <c r="D472" t="s">
        <v>105</v>
      </c>
      <c r="E472" t="s">
        <v>75</v>
      </c>
      <c r="F472" s="171">
        <v>2550895</v>
      </c>
      <c r="G472" s="171">
        <v>22574</v>
      </c>
      <c r="H472">
        <v>113</v>
      </c>
    </row>
    <row r="473" spans="1:8" hidden="1" x14ac:dyDescent="0.25">
      <c r="A473" t="s">
        <v>71</v>
      </c>
      <c r="B473" t="s">
        <v>72</v>
      </c>
      <c r="C473" t="s">
        <v>78</v>
      </c>
      <c r="D473" t="s">
        <v>106</v>
      </c>
      <c r="E473" t="s">
        <v>75</v>
      </c>
      <c r="F473" s="171">
        <v>9573</v>
      </c>
      <c r="G473" s="171">
        <v>9573</v>
      </c>
      <c r="H473">
        <v>1</v>
      </c>
    </row>
    <row r="474" spans="1:8" hidden="1" x14ac:dyDescent="0.25">
      <c r="A474" t="s">
        <v>71</v>
      </c>
      <c r="B474" t="s">
        <v>72</v>
      </c>
      <c r="C474" t="s">
        <v>78</v>
      </c>
      <c r="D474" t="s">
        <v>108</v>
      </c>
      <c r="E474" t="s">
        <v>75</v>
      </c>
      <c r="F474" s="171">
        <v>2110058</v>
      </c>
      <c r="G474" s="171">
        <v>703353</v>
      </c>
      <c r="H474">
        <v>3</v>
      </c>
    </row>
    <row r="475" spans="1:8" hidden="1" x14ac:dyDescent="0.25">
      <c r="A475" t="s">
        <v>71</v>
      </c>
      <c r="B475" t="s">
        <v>72</v>
      </c>
      <c r="C475" t="s">
        <v>78</v>
      </c>
      <c r="D475" t="s">
        <v>112</v>
      </c>
      <c r="E475" t="s">
        <v>75</v>
      </c>
      <c r="F475" s="171">
        <v>39976</v>
      </c>
      <c r="G475" s="171">
        <v>13325</v>
      </c>
      <c r="H475">
        <v>3</v>
      </c>
    </row>
    <row r="476" spans="1:8" hidden="1" x14ac:dyDescent="0.25">
      <c r="A476" t="s">
        <v>71</v>
      </c>
      <c r="B476" t="s">
        <v>72</v>
      </c>
      <c r="C476" t="s">
        <v>78</v>
      </c>
      <c r="D476" t="s">
        <v>113</v>
      </c>
      <c r="E476" t="s">
        <v>75</v>
      </c>
      <c r="F476" s="171">
        <v>21919</v>
      </c>
      <c r="G476" s="171">
        <v>7306</v>
      </c>
      <c r="H476">
        <v>3</v>
      </c>
    </row>
    <row r="477" spans="1:8" hidden="1" x14ac:dyDescent="0.25">
      <c r="A477" t="s">
        <v>71</v>
      </c>
      <c r="B477" t="s">
        <v>72</v>
      </c>
      <c r="C477" t="s">
        <v>78</v>
      </c>
      <c r="D477" t="s">
        <v>118</v>
      </c>
      <c r="E477" t="s">
        <v>75</v>
      </c>
      <c r="F477" s="171">
        <v>241646</v>
      </c>
      <c r="G477" s="171">
        <v>30206</v>
      </c>
      <c r="H477">
        <v>8</v>
      </c>
    </row>
    <row r="478" spans="1:8" hidden="1" x14ac:dyDescent="0.25">
      <c r="A478" t="s">
        <v>71</v>
      </c>
      <c r="B478" t="s">
        <v>72</v>
      </c>
      <c r="C478" t="s">
        <v>78</v>
      </c>
      <c r="D478" t="s">
        <v>120</v>
      </c>
      <c r="E478" t="s">
        <v>75</v>
      </c>
      <c r="F478" s="171">
        <v>8488</v>
      </c>
      <c r="G478" s="171">
        <v>2122</v>
      </c>
      <c r="H478">
        <v>4</v>
      </c>
    </row>
    <row r="479" spans="1:8" hidden="1" x14ac:dyDescent="0.25">
      <c r="A479" t="s">
        <v>71</v>
      </c>
      <c r="B479" t="s">
        <v>72</v>
      </c>
      <c r="C479" t="s">
        <v>78</v>
      </c>
      <c r="D479" t="s">
        <v>122</v>
      </c>
      <c r="E479" t="s">
        <v>75</v>
      </c>
      <c r="F479" s="171">
        <v>21955</v>
      </c>
      <c r="G479" s="171">
        <v>7318</v>
      </c>
      <c r="H479">
        <v>3</v>
      </c>
    </row>
    <row r="480" spans="1:8" hidden="1" x14ac:dyDescent="0.25">
      <c r="A480" t="s">
        <v>71</v>
      </c>
      <c r="B480" t="s">
        <v>72</v>
      </c>
      <c r="C480" t="s">
        <v>78</v>
      </c>
      <c r="D480" t="s">
        <v>127</v>
      </c>
      <c r="E480" t="s">
        <v>75</v>
      </c>
      <c r="F480" s="171">
        <v>630990</v>
      </c>
      <c r="G480" s="171">
        <v>315495</v>
      </c>
      <c r="H480">
        <v>2</v>
      </c>
    </row>
    <row r="481" spans="1:8" hidden="1" x14ac:dyDescent="0.25">
      <c r="A481" t="s">
        <v>71</v>
      </c>
      <c r="B481" t="s">
        <v>72</v>
      </c>
      <c r="C481" t="s">
        <v>78</v>
      </c>
      <c r="D481" t="s">
        <v>129</v>
      </c>
      <c r="E481" t="s">
        <v>75</v>
      </c>
      <c r="F481" s="171">
        <v>1694966</v>
      </c>
      <c r="G481" s="171">
        <v>25681</v>
      </c>
      <c r="H481">
        <v>66</v>
      </c>
    </row>
    <row r="482" spans="1:8" hidden="1" x14ac:dyDescent="0.25">
      <c r="A482" t="s">
        <v>71</v>
      </c>
      <c r="B482" t="s">
        <v>72</v>
      </c>
      <c r="C482" t="s">
        <v>78</v>
      </c>
      <c r="D482" t="s">
        <v>131</v>
      </c>
      <c r="E482" t="s">
        <v>75</v>
      </c>
      <c r="F482" s="171">
        <v>564548</v>
      </c>
      <c r="G482" s="171">
        <v>31364</v>
      </c>
      <c r="H482">
        <v>18</v>
      </c>
    </row>
    <row r="483" spans="1:8" hidden="1" x14ac:dyDescent="0.25">
      <c r="A483" t="s">
        <v>71</v>
      </c>
      <c r="B483" t="s">
        <v>72</v>
      </c>
      <c r="C483" t="s">
        <v>78</v>
      </c>
      <c r="D483" t="s">
        <v>134</v>
      </c>
      <c r="E483" t="s">
        <v>75</v>
      </c>
      <c r="F483" s="171">
        <v>50405</v>
      </c>
      <c r="G483" s="171">
        <v>5041</v>
      </c>
      <c r="H483">
        <v>10</v>
      </c>
    </row>
    <row r="484" spans="1:8" hidden="1" x14ac:dyDescent="0.25">
      <c r="A484" t="s">
        <v>71</v>
      </c>
      <c r="B484" t="s">
        <v>72</v>
      </c>
      <c r="C484" t="s">
        <v>78</v>
      </c>
      <c r="D484" t="s">
        <v>135</v>
      </c>
      <c r="E484" t="s">
        <v>75</v>
      </c>
      <c r="F484" s="171">
        <v>90947</v>
      </c>
      <c r="G484" s="171">
        <v>12992</v>
      </c>
      <c r="H484">
        <v>7</v>
      </c>
    </row>
    <row r="485" spans="1:8" hidden="1" x14ac:dyDescent="0.25">
      <c r="A485" t="s">
        <v>71</v>
      </c>
      <c r="B485" t="s">
        <v>72</v>
      </c>
      <c r="C485" t="s">
        <v>78</v>
      </c>
      <c r="D485" t="s">
        <v>137</v>
      </c>
      <c r="E485" t="s">
        <v>75</v>
      </c>
      <c r="F485" s="171">
        <v>394347</v>
      </c>
      <c r="G485" s="171">
        <v>197173</v>
      </c>
      <c r="H485">
        <v>2</v>
      </c>
    </row>
    <row r="486" spans="1:8" hidden="1" x14ac:dyDescent="0.25">
      <c r="A486" t="s">
        <v>71</v>
      </c>
      <c r="B486" t="s">
        <v>72</v>
      </c>
      <c r="C486" t="s">
        <v>78</v>
      </c>
      <c r="D486" t="s">
        <v>141</v>
      </c>
      <c r="E486" t="s">
        <v>75</v>
      </c>
      <c r="F486" s="171">
        <v>11882</v>
      </c>
      <c r="G486" s="171">
        <v>11882</v>
      </c>
      <c r="H486">
        <v>1</v>
      </c>
    </row>
    <row r="487" spans="1:8" hidden="1" x14ac:dyDescent="0.25">
      <c r="A487" t="s">
        <v>71</v>
      </c>
      <c r="B487" t="s">
        <v>72</v>
      </c>
      <c r="C487" t="s">
        <v>78</v>
      </c>
      <c r="D487" t="s">
        <v>142</v>
      </c>
      <c r="E487" t="s">
        <v>75</v>
      </c>
      <c r="F487" s="171">
        <v>7292</v>
      </c>
      <c r="G487" s="171">
        <v>3646</v>
      </c>
      <c r="H487">
        <v>2</v>
      </c>
    </row>
    <row r="488" spans="1:8" hidden="1" x14ac:dyDescent="0.25">
      <c r="A488" t="s">
        <v>71</v>
      </c>
      <c r="B488" t="s">
        <v>72</v>
      </c>
      <c r="C488" t="s">
        <v>78</v>
      </c>
      <c r="D488" t="s">
        <v>143</v>
      </c>
      <c r="E488" t="s">
        <v>75</v>
      </c>
      <c r="F488" s="171">
        <v>6895</v>
      </c>
      <c r="G488" s="171">
        <v>3447</v>
      </c>
      <c r="H488">
        <v>2</v>
      </c>
    </row>
    <row r="489" spans="1:8" hidden="1" x14ac:dyDescent="0.25">
      <c r="A489" t="s">
        <v>71</v>
      </c>
      <c r="B489" t="s">
        <v>72</v>
      </c>
      <c r="C489" t="s">
        <v>78</v>
      </c>
      <c r="D489" t="s">
        <v>144</v>
      </c>
      <c r="E489" t="s">
        <v>75</v>
      </c>
      <c r="F489" s="171">
        <v>12120</v>
      </c>
      <c r="G489" s="171">
        <v>12120</v>
      </c>
      <c r="H489">
        <v>1</v>
      </c>
    </row>
    <row r="490" spans="1:8" hidden="1" x14ac:dyDescent="0.25">
      <c r="A490" t="s">
        <v>71</v>
      </c>
      <c r="B490" t="s">
        <v>72</v>
      </c>
      <c r="C490" t="s">
        <v>78</v>
      </c>
      <c r="D490" t="s">
        <v>149</v>
      </c>
      <c r="E490" t="s">
        <v>75</v>
      </c>
      <c r="F490" s="171">
        <v>1773248</v>
      </c>
      <c r="G490" s="171">
        <v>9534</v>
      </c>
      <c r="H490">
        <v>186</v>
      </c>
    </row>
    <row r="491" spans="1:8" hidden="1" x14ac:dyDescent="0.25">
      <c r="A491" t="s">
        <v>71</v>
      </c>
      <c r="B491" t="s">
        <v>72</v>
      </c>
      <c r="C491" t="s">
        <v>78</v>
      </c>
      <c r="D491" t="s">
        <v>150</v>
      </c>
      <c r="E491" t="s">
        <v>75</v>
      </c>
      <c r="F491" s="171">
        <v>119633</v>
      </c>
      <c r="G491" s="171">
        <v>10876</v>
      </c>
      <c r="H491">
        <v>11</v>
      </c>
    </row>
    <row r="492" spans="1:8" hidden="1" x14ac:dyDescent="0.25">
      <c r="A492" t="s">
        <v>71</v>
      </c>
      <c r="B492" t="s">
        <v>72</v>
      </c>
      <c r="C492" t="s">
        <v>78</v>
      </c>
      <c r="D492" t="s">
        <v>151</v>
      </c>
      <c r="E492" t="s">
        <v>75</v>
      </c>
      <c r="F492" s="171">
        <v>318811</v>
      </c>
      <c r="G492" s="171">
        <v>9661</v>
      </c>
      <c r="H492">
        <v>33</v>
      </c>
    </row>
    <row r="493" spans="1:8" hidden="1" x14ac:dyDescent="0.25">
      <c r="A493" t="s">
        <v>71</v>
      </c>
      <c r="B493" t="s">
        <v>72</v>
      </c>
      <c r="C493" t="s">
        <v>78</v>
      </c>
      <c r="D493" t="s">
        <v>153</v>
      </c>
      <c r="E493" t="s">
        <v>75</v>
      </c>
      <c r="F493" s="171">
        <v>267866</v>
      </c>
      <c r="G493" s="171">
        <v>53573</v>
      </c>
      <c r="H493">
        <v>5</v>
      </c>
    </row>
    <row r="494" spans="1:8" hidden="1" x14ac:dyDescent="0.25">
      <c r="A494" t="s">
        <v>71</v>
      </c>
      <c r="B494" t="s">
        <v>72</v>
      </c>
      <c r="C494" t="s">
        <v>78</v>
      </c>
      <c r="D494" t="s">
        <v>155</v>
      </c>
      <c r="E494" t="s">
        <v>75</v>
      </c>
      <c r="F494" s="171">
        <v>199849</v>
      </c>
      <c r="G494" s="171">
        <v>15373</v>
      </c>
      <c r="H494">
        <v>13</v>
      </c>
    </row>
    <row r="495" spans="1:8" hidden="1" x14ac:dyDescent="0.25">
      <c r="A495" t="s">
        <v>71</v>
      </c>
      <c r="B495" t="s">
        <v>72</v>
      </c>
      <c r="C495" t="s">
        <v>78</v>
      </c>
      <c r="D495" t="s">
        <v>158</v>
      </c>
      <c r="E495" t="s">
        <v>75</v>
      </c>
      <c r="F495" s="171">
        <v>405320</v>
      </c>
      <c r="G495" s="171">
        <v>40532</v>
      </c>
      <c r="H495">
        <v>10</v>
      </c>
    </row>
    <row r="496" spans="1:8" hidden="1" x14ac:dyDescent="0.25">
      <c r="A496" t="s">
        <v>71</v>
      </c>
      <c r="B496" t="s">
        <v>72</v>
      </c>
      <c r="C496" t="s">
        <v>78</v>
      </c>
      <c r="D496" t="s">
        <v>159</v>
      </c>
      <c r="E496" t="s">
        <v>75</v>
      </c>
      <c r="F496" s="171">
        <v>4802</v>
      </c>
      <c r="G496" s="171">
        <v>2401</v>
      </c>
      <c r="H496">
        <v>2</v>
      </c>
    </row>
    <row r="497" spans="1:8" hidden="1" x14ac:dyDescent="0.25">
      <c r="A497" t="s">
        <v>71</v>
      </c>
      <c r="B497" t="s">
        <v>72</v>
      </c>
      <c r="C497" t="s">
        <v>78</v>
      </c>
      <c r="D497" t="s">
        <v>162</v>
      </c>
      <c r="E497" t="s">
        <v>75</v>
      </c>
      <c r="F497" s="171">
        <v>13986365</v>
      </c>
      <c r="G497" s="171">
        <v>95145</v>
      </c>
      <c r="H497">
        <v>147</v>
      </c>
    </row>
    <row r="498" spans="1:8" hidden="1" x14ac:dyDescent="0.25">
      <c r="A498" t="s">
        <v>71</v>
      </c>
      <c r="B498" t="s">
        <v>72</v>
      </c>
      <c r="C498" t="s">
        <v>78</v>
      </c>
      <c r="D498" t="s">
        <v>163</v>
      </c>
      <c r="E498" t="s">
        <v>75</v>
      </c>
      <c r="F498" s="171">
        <v>38128</v>
      </c>
      <c r="G498" s="171">
        <v>7626</v>
      </c>
      <c r="H498">
        <v>5</v>
      </c>
    </row>
    <row r="499" spans="1:8" hidden="1" x14ac:dyDescent="0.25">
      <c r="A499" t="s">
        <v>71</v>
      </c>
      <c r="B499" t="s">
        <v>72</v>
      </c>
      <c r="C499" t="s">
        <v>78</v>
      </c>
      <c r="D499" t="s">
        <v>165</v>
      </c>
      <c r="E499" t="s">
        <v>75</v>
      </c>
      <c r="F499" s="171">
        <v>2633</v>
      </c>
      <c r="G499" s="171">
        <v>2633</v>
      </c>
      <c r="H499">
        <v>1</v>
      </c>
    </row>
    <row r="500" spans="1:8" hidden="1" x14ac:dyDescent="0.25">
      <c r="A500" t="s">
        <v>71</v>
      </c>
      <c r="B500" t="s">
        <v>72</v>
      </c>
      <c r="C500" t="s">
        <v>78</v>
      </c>
      <c r="D500" t="s">
        <v>169</v>
      </c>
      <c r="E500" t="s">
        <v>75</v>
      </c>
      <c r="F500" s="171">
        <v>14073619</v>
      </c>
      <c r="G500" s="171">
        <v>13585</v>
      </c>
      <c r="H500">
        <v>1036</v>
      </c>
    </row>
    <row r="501" spans="1:8" hidden="1" x14ac:dyDescent="0.25">
      <c r="A501" t="s">
        <v>71</v>
      </c>
      <c r="B501" t="s">
        <v>72</v>
      </c>
      <c r="C501" t="s">
        <v>78</v>
      </c>
      <c r="D501" t="s">
        <v>171</v>
      </c>
      <c r="E501" t="s">
        <v>75</v>
      </c>
      <c r="F501" s="171">
        <v>230303</v>
      </c>
      <c r="G501" s="171">
        <v>28788</v>
      </c>
      <c r="H501">
        <v>8</v>
      </c>
    </row>
    <row r="502" spans="1:8" hidden="1" x14ac:dyDescent="0.25">
      <c r="A502" t="s">
        <v>71</v>
      </c>
      <c r="B502" t="s">
        <v>72</v>
      </c>
      <c r="C502" t="s">
        <v>78</v>
      </c>
      <c r="D502" t="s">
        <v>174</v>
      </c>
      <c r="E502" t="s">
        <v>75</v>
      </c>
      <c r="F502" s="171">
        <v>1932620</v>
      </c>
      <c r="G502" s="171">
        <v>37895</v>
      </c>
      <c r="H502">
        <v>51</v>
      </c>
    </row>
    <row r="503" spans="1:8" hidden="1" x14ac:dyDescent="0.25">
      <c r="A503" t="s">
        <v>71</v>
      </c>
      <c r="B503" t="s">
        <v>72</v>
      </c>
      <c r="C503" t="s">
        <v>78</v>
      </c>
      <c r="D503" t="s">
        <v>175</v>
      </c>
      <c r="E503" t="s">
        <v>75</v>
      </c>
      <c r="F503" s="171">
        <v>6422</v>
      </c>
      <c r="G503" s="171">
        <v>1605</v>
      </c>
      <c r="H503">
        <v>4</v>
      </c>
    </row>
    <row r="504" spans="1:8" hidden="1" x14ac:dyDescent="0.25">
      <c r="A504" t="s">
        <v>71</v>
      </c>
      <c r="B504" t="s">
        <v>72</v>
      </c>
      <c r="C504" t="s">
        <v>78</v>
      </c>
      <c r="D504" t="s">
        <v>176</v>
      </c>
      <c r="E504" t="s">
        <v>75</v>
      </c>
      <c r="F504" s="171">
        <v>1249691</v>
      </c>
      <c r="G504" s="171">
        <v>9257</v>
      </c>
      <c r="H504">
        <v>135</v>
      </c>
    </row>
    <row r="505" spans="1:8" hidden="1" x14ac:dyDescent="0.25">
      <c r="A505" t="s">
        <v>71</v>
      </c>
      <c r="B505" t="s">
        <v>72</v>
      </c>
      <c r="C505" t="s">
        <v>78</v>
      </c>
      <c r="D505" t="s">
        <v>177</v>
      </c>
      <c r="E505" t="s">
        <v>75</v>
      </c>
      <c r="F505" s="171">
        <v>7264156</v>
      </c>
      <c r="G505" s="171">
        <v>13018</v>
      </c>
      <c r="H505">
        <v>558</v>
      </c>
    </row>
    <row r="506" spans="1:8" hidden="1" x14ac:dyDescent="0.25">
      <c r="A506" t="s">
        <v>71</v>
      </c>
      <c r="B506" t="s">
        <v>72</v>
      </c>
      <c r="C506" t="s">
        <v>78</v>
      </c>
      <c r="D506" t="s">
        <v>178</v>
      </c>
      <c r="E506" t="s">
        <v>75</v>
      </c>
      <c r="F506" s="171">
        <v>2721743</v>
      </c>
      <c r="G506" s="171">
        <v>60483</v>
      </c>
      <c r="H506">
        <v>45</v>
      </c>
    </row>
    <row r="507" spans="1:8" hidden="1" x14ac:dyDescent="0.25">
      <c r="A507" t="s">
        <v>71</v>
      </c>
      <c r="B507" t="s">
        <v>72</v>
      </c>
      <c r="C507" t="s">
        <v>78</v>
      </c>
      <c r="D507" t="s">
        <v>180</v>
      </c>
      <c r="E507" t="s">
        <v>75</v>
      </c>
      <c r="F507" s="171">
        <v>9816705</v>
      </c>
      <c r="G507" s="171">
        <v>72182</v>
      </c>
      <c r="H507">
        <v>136</v>
      </c>
    </row>
    <row r="508" spans="1:8" hidden="1" x14ac:dyDescent="0.25">
      <c r="A508" t="s">
        <v>71</v>
      </c>
      <c r="B508" t="s">
        <v>72</v>
      </c>
      <c r="C508" t="s">
        <v>78</v>
      </c>
      <c r="D508" t="s">
        <v>184</v>
      </c>
      <c r="E508" t="s">
        <v>75</v>
      </c>
      <c r="F508" s="171">
        <v>49165</v>
      </c>
      <c r="G508" s="171">
        <v>7024</v>
      </c>
      <c r="H508">
        <v>7</v>
      </c>
    </row>
    <row r="509" spans="1:8" hidden="1" x14ac:dyDescent="0.25">
      <c r="A509" t="s">
        <v>71</v>
      </c>
      <c r="B509" t="s">
        <v>72</v>
      </c>
      <c r="C509" t="s">
        <v>78</v>
      </c>
      <c r="D509" t="s">
        <v>185</v>
      </c>
      <c r="E509" t="s">
        <v>75</v>
      </c>
      <c r="F509" s="171">
        <v>60732</v>
      </c>
      <c r="G509" s="171">
        <v>6073</v>
      </c>
      <c r="H509">
        <v>10</v>
      </c>
    </row>
    <row r="510" spans="1:8" hidden="1" x14ac:dyDescent="0.25">
      <c r="A510" t="s">
        <v>71</v>
      </c>
      <c r="B510" t="s">
        <v>77</v>
      </c>
      <c r="C510" t="s">
        <v>78</v>
      </c>
      <c r="D510" t="s">
        <v>79</v>
      </c>
      <c r="E510" t="s">
        <v>75</v>
      </c>
      <c r="F510" s="171">
        <v>538442</v>
      </c>
      <c r="G510" s="171">
        <v>59827</v>
      </c>
      <c r="H510">
        <v>9</v>
      </c>
    </row>
    <row r="511" spans="1:8" hidden="1" x14ac:dyDescent="0.25">
      <c r="A511" t="s">
        <v>71</v>
      </c>
      <c r="B511" t="s">
        <v>77</v>
      </c>
      <c r="C511" t="s">
        <v>78</v>
      </c>
      <c r="D511" t="s">
        <v>81</v>
      </c>
      <c r="E511" t="s">
        <v>75</v>
      </c>
      <c r="F511" s="171">
        <v>57</v>
      </c>
    </row>
    <row r="512" spans="1:8" hidden="1" x14ac:dyDescent="0.25">
      <c r="A512" t="s">
        <v>71</v>
      </c>
      <c r="B512" t="s">
        <v>77</v>
      </c>
      <c r="C512" t="s">
        <v>78</v>
      </c>
      <c r="D512" t="s">
        <v>85</v>
      </c>
      <c r="E512" t="s">
        <v>75</v>
      </c>
      <c r="F512" s="171">
        <v>313205</v>
      </c>
      <c r="G512" s="171">
        <v>28473</v>
      </c>
      <c r="H512">
        <v>11</v>
      </c>
    </row>
    <row r="513" spans="1:8" hidden="1" x14ac:dyDescent="0.25">
      <c r="A513" t="s">
        <v>71</v>
      </c>
      <c r="B513" t="s">
        <v>77</v>
      </c>
      <c r="C513" t="s">
        <v>78</v>
      </c>
      <c r="D513" t="s">
        <v>88</v>
      </c>
      <c r="E513" t="s">
        <v>75</v>
      </c>
      <c r="F513" s="171">
        <v>6568</v>
      </c>
      <c r="G513" s="171">
        <v>2189</v>
      </c>
      <c r="H513">
        <v>3</v>
      </c>
    </row>
    <row r="514" spans="1:8" hidden="1" x14ac:dyDescent="0.25">
      <c r="A514" t="s">
        <v>71</v>
      </c>
      <c r="B514" t="s">
        <v>77</v>
      </c>
      <c r="C514" t="s">
        <v>78</v>
      </c>
      <c r="D514" t="s">
        <v>90</v>
      </c>
      <c r="E514" t="s">
        <v>75</v>
      </c>
      <c r="F514" s="171">
        <v>426360</v>
      </c>
      <c r="G514" s="171">
        <v>12540</v>
      </c>
      <c r="H514">
        <v>34</v>
      </c>
    </row>
    <row r="515" spans="1:8" hidden="1" x14ac:dyDescent="0.25">
      <c r="A515" t="s">
        <v>71</v>
      </c>
      <c r="B515" t="s">
        <v>77</v>
      </c>
      <c r="C515" t="s">
        <v>78</v>
      </c>
      <c r="D515" t="s">
        <v>92</v>
      </c>
      <c r="E515" t="s">
        <v>75</v>
      </c>
      <c r="F515" s="171">
        <v>1403</v>
      </c>
      <c r="G515" s="171">
        <v>1403</v>
      </c>
      <c r="H515">
        <v>1</v>
      </c>
    </row>
    <row r="516" spans="1:8" hidden="1" x14ac:dyDescent="0.25">
      <c r="A516" t="s">
        <v>71</v>
      </c>
      <c r="B516" t="s">
        <v>77</v>
      </c>
      <c r="C516" t="s">
        <v>78</v>
      </c>
      <c r="D516" t="s">
        <v>93</v>
      </c>
      <c r="E516" t="s">
        <v>75</v>
      </c>
      <c r="F516" s="171">
        <v>55810</v>
      </c>
      <c r="G516" s="171">
        <v>13952</v>
      </c>
      <c r="H516">
        <v>4</v>
      </c>
    </row>
    <row r="517" spans="1:8" hidden="1" x14ac:dyDescent="0.25">
      <c r="A517" t="s">
        <v>71</v>
      </c>
      <c r="B517" t="s">
        <v>77</v>
      </c>
      <c r="C517" t="s">
        <v>78</v>
      </c>
      <c r="D517" t="s">
        <v>97</v>
      </c>
      <c r="E517" t="s">
        <v>75</v>
      </c>
      <c r="F517" s="171">
        <v>11174</v>
      </c>
      <c r="G517" s="171">
        <v>5587</v>
      </c>
      <c r="H517">
        <v>2</v>
      </c>
    </row>
    <row r="518" spans="1:8" hidden="1" x14ac:dyDescent="0.25">
      <c r="A518" t="s">
        <v>71</v>
      </c>
      <c r="B518" t="s">
        <v>77</v>
      </c>
      <c r="C518" t="s">
        <v>78</v>
      </c>
      <c r="D518" t="s">
        <v>98</v>
      </c>
      <c r="E518" t="s">
        <v>75</v>
      </c>
      <c r="F518" s="171">
        <v>9820</v>
      </c>
      <c r="G518" s="171">
        <v>4910</v>
      </c>
      <c r="H518">
        <v>2</v>
      </c>
    </row>
    <row r="519" spans="1:8" hidden="1" x14ac:dyDescent="0.25">
      <c r="A519" t="s">
        <v>71</v>
      </c>
      <c r="B519" t="s">
        <v>77</v>
      </c>
      <c r="C519" t="s">
        <v>78</v>
      </c>
      <c r="D519" t="s">
        <v>99</v>
      </c>
      <c r="E519" t="s">
        <v>75</v>
      </c>
      <c r="F519" s="171">
        <v>114997</v>
      </c>
      <c r="G519" s="171">
        <v>5000</v>
      </c>
      <c r="H519">
        <v>23</v>
      </c>
    </row>
    <row r="520" spans="1:8" hidden="1" x14ac:dyDescent="0.25">
      <c r="A520" t="s">
        <v>71</v>
      </c>
      <c r="B520" t="s">
        <v>77</v>
      </c>
      <c r="C520" t="s">
        <v>78</v>
      </c>
      <c r="D520" t="s">
        <v>104</v>
      </c>
      <c r="E520" t="s">
        <v>75</v>
      </c>
      <c r="F520" s="171">
        <v>18218</v>
      </c>
      <c r="G520" s="171">
        <v>18218</v>
      </c>
      <c r="H520">
        <v>1</v>
      </c>
    </row>
    <row r="521" spans="1:8" hidden="1" x14ac:dyDescent="0.25">
      <c r="A521" t="s">
        <v>71</v>
      </c>
      <c r="B521" t="s">
        <v>77</v>
      </c>
      <c r="C521" t="s">
        <v>78</v>
      </c>
      <c r="D521" t="s">
        <v>105</v>
      </c>
      <c r="E521" t="s">
        <v>75</v>
      </c>
      <c r="F521" s="171">
        <v>2819973</v>
      </c>
      <c r="G521" s="171">
        <v>30652</v>
      </c>
      <c r="H521">
        <v>92</v>
      </c>
    </row>
    <row r="522" spans="1:8" hidden="1" x14ac:dyDescent="0.25">
      <c r="A522" t="s">
        <v>71</v>
      </c>
      <c r="B522" t="s">
        <v>77</v>
      </c>
      <c r="C522" t="s">
        <v>78</v>
      </c>
      <c r="D522" t="s">
        <v>106</v>
      </c>
      <c r="E522" t="s">
        <v>75</v>
      </c>
      <c r="F522" s="171">
        <v>2544</v>
      </c>
      <c r="G522" s="171">
        <v>1272</v>
      </c>
      <c r="H522">
        <v>2</v>
      </c>
    </row>
    <row r="523" spans="1:8" hidden="1" x14ac:dyDescent="0.25">
      <c r="A523" t="s">
        <v>71</v>
      </c>
      <c r="B523" t="s">
        <v>77</v>
      </c>
      <c r="C523" t="s">
        <v>78</v>
      </c>
      <c r="D523" t="s">
        <v>108</v>
      </c>
      <c r="E523" t="s">
        <v>75</v>
      </c>
      <c r="F523" s="171">
        <v>80354</v>
      </c>
      <c r="G523" s="171">
        <v>40177</v>
      </c>
      <c r="H523">
        <v>2</v>
      </c>
    </row>
    <row r="524" spans="1:8" hidden="1" x14ac:dyDescent="0.25">
      <c r="A524" t="s">
        <v>71</v>
      </c>
      <c r="B524" t="s">
        <v>77</v>
      </c>
      <c r="C524" t="s">
        <v>78</v>
      </c>
      <c r="D524" t="s">
        <v>112</v>
      </c>
      <c r="E524" t="s">
        <v>75</v>
      </c>
      <c r="F524" s="171">
        <v>13310</v>
      </c>
      <c r="G524" s="171">
        <v>13310</v>
      </c>
      <c r="H524">
        <v>1</v>
      </c>
    </row>
    <row r="525" spans="1:8" hidden="1" x14ac:dyDescent="0.25">
      <c r="A525" t="s">
        <v>71</v>
      </c>
      <c r="B525" t="s">
        <v>77</v>
      </c>
      <c r="C525" t="s">
        <v>78</v>
      </c>
      <c r="D525" t="s">
        <v>113</v>
      </c>
      <c r="E525" t="s">
        <v>75</v>
      </c>
      <c r="F525" s="171">
        <v>1146</v>
      </c>
      <c r="G525" s="171">
        <v>1146</v>
      </c>
      <c r="H525">
        <v>1</v>
      </c>
    </row>
    <row r="526" spans="1:8" hidden="1" x14ac:dyDescent="0.25">
      <c r="A526" t="s">
        <v>71</v>
      </c>
      <c r="B526" t="s">
        <v>77</v>
      </c>
      <c r="C526" t="s">
        <v>78</v>
      </c>
      <c r="D526" t="s">
        <v>118</v>
      </c>
      <c r="E526" t="s">
        <v>75</v>
      </c>
      <c r="F526" s="171">
        <v>554557</v>
      </c>
      <c r="G526" s="171">
        <v>79222</v>
      </c>
      <c r="H526">
        <v>7</v>
      </c>
    </row>
    <row r="527" spans="1:8" hidden="1" x14ac:dyDescent="0.25">
      <c r="A527" t="s">
        <v>71</v>
      </c>
      <c r="B527" t="s">
        <v>77</v>
      </c>
      <c r="C527" t="s">
        <v>78</v>
      </c>
      <c r="D527" t="s">
        <v>120</v>
      </c>
      <c r="E527" t="s">
        <v>75</v>
      </c>
      <c r="F527" s="171">
        <v>101428</v>
      </c>
      <c r="G527" s="171">
        <v>25357</v>
      </c>
      <c r="H527">
        <v>4</v>
      </c>
    </row>
    <row r="528" spans="1:8" hidden="1" x14ac:dyDescent="0.25">
      <c r="A528" t="s">
        <v>71</v>
      </c>
      <c r="B528" t="s">
        <v>77</v>
      </c>
      <c r="C528" t="s">
        <v>78</v>
      </c>
      <c r="D528" t="s">
        <v>122</v>
      </c>
      <c r="E528" t="s">
        <v>75</v>
      </c>
      <c r="F528" s="171">
        <v>7727</v>
      </c>
      <c r="G528" s="171">
        <v>3864</v>
      </c>
      <c r="H528">
        <v>2</v>
      </c>
    </row>
    <row r="529" spans="1:8" hidden="1" x14ac:dyDescent="0.25">
      <c r="A529" t="s">
        <v>71</v>
      </c>
      <c r="B529" t="s">
        <v>77</v>
      </c>
      <c r="C529" t="s">
        <v>78</v>
      </c>
      <c r="D529" t="s">
        <v>129</v>
      </c>
      <c r="E529" t="s">
        <v>75</v>
      </c>
      <c r="F529" s="171">
        <v>2010408</v>
      </c>
      <c r="G529" s="171">
        <v>31413</v>
      </c>
      <c r="H529">
        <v>64</v>
      </c>
    </row>
    <row r="530" spans="1:8" hidden="1" x14ac:dyDescent="0.25">
      <c r="A530" t="s">
        <v>71</v>
      </c>
      <c r="B530" t="s">
        <v>77</v>
      </c>
      <c r="C530" t="s">
        <v>78</v>
      </c>
      <c r="D530" t="s">
        <v>131</v>
      </c>
      <c r="E530" t="s">
        <v>75</v>
      </c>
      <c r="F530" s="171">
        <v>958219</v>
      </c>
      <c r="G530" s="171">
        <v>56366</v>
      </c>
      <c r="H530">
        <v>17</v>
      </c>
    </row>
    <row r="531" spans="1:8" hidden="1" x14ac:dyDescent="0.25">
      <c r="A531" t="s">
        <v>71</v>
      </c>
      <c r="B531" t="s">
        <v>77</v>
      </c>
      <c r="C531" t="s">
        <v>78</v>
      </c>
      <c r="D531" t="s">
        <v>134</v>
      </c>
      <c r="E531" t="s">
        <v>75</v>
      </c>
      <c r="F531" s="171">
        <v>87822</v>
      </c>
      <c r="G531" s="171">
        <v>9758</v>
      </c>
      <c r="H531">
        <v>9</v>
      </c>
    </row>
    <row r="532" spans="1:8" hidden="1" x14ac:dyDescent="0.25">
      <c r="A532" t="s">
        <v>71</v>
      </c>
      <c r="B532" t="s">
        <v>77</v>
      </c>
      <c r="C532" t="s">
        <v>78</v>
      </c>
      <c r="D532" t="s">
        <v>135</v>
      </c>
      <c r="E532" t="s">
        <v>75</v>
      </c>
      <c r="F532" s="171">
        <v>70795</v>
      </c>
      <c r="G532" s="171">
        <v>14159</v>
      </c>
      <c r="H532">
        <v>5</v>
      </c>
    </row>
    <row r="533" spans="1:8" hidden="1" x14ac:dyDescent="0.25">
      <c r="A533" t="s">
        <v>71</v>
      </c>
      <c r="B533" t="s">
        <v>77</v>
      </c>
      <c r="C533" t="s">
        <v>78</v>
      </c>
      <c r="D533" t="s">
        <v>136</v>
      </c>
      <c r="E533" t="s">
        <v>75</v>
      </c>
      <c r="F533" s="171">
        <v>18329</v>
      </c>
      <c r="G533" s="171">
        <v>9165</v>
      </c>
      <c r="H533">
        <v>2</v>
      </c>
    </row>
    <row r="534" spans="1:8" hidden="1" x14ac:dyDescent="0.25">
      <c r="A534" t="s">
        <v>71</v>
      </c>
      <c r="B534" t="s">
        <v>77</v>
      </c>
      <c r="C534" t="s">
        <v>78</v>
      </c>
      <c r="D534" t="s">
        <v>137</v>
      </c>
      <c r="E534" t="s">
        <v>75</v>
      </c>
      <c r="F534" s="171">
        <v>510279</v>
      </c>
      <c r="G534" s="171">
        <v>127570</v>
      </c>
      <c r="H534">
        <v>4</v>
      </c>
    </row>
    <row r="535" spans="1:8" hidden="1" x14ac:dyDescent="0.25">
      <c r="A535" t="s">
        <v>71</v>
      </c>
      <c r="B535" t="s">
        <v>77</v>
      </c>
      <c r="C535" t="s">
        <v>78</v>
      </c>
      <c r="D535" t="s">
        <v>142</v>
      </c>
      <c r="E535" t="s">
        <v>75</v>
      </c>
      <c r="F535" s="171">
        <v>42635</v>
      </c>
      <c r="G535" s="171">
        <v>7106</v>
      </c>
      <c r="H535">
        <v>6</v>
      </c>
    </row>
    <row r="536" spans="1:8" hidden="1" x14ac:dyDescent="0.25">
      <c r="A536" t="s">
        <v>71</v>
      </c>
      <c r="B536" t="s">
        <v>77</v>
      </c>
      <c r="C536" t="s">
        <v>78</v>
      </c>
      <c r="D536" t="s">
        <v>143</v>
      </c>
      <c r="E536" t="s">
        <v>75</v>
      </c>
      <c r="F536" s="171">
        <v>88572</v>
      </c>
      <c r="G536" s="171">
        <v>44286</v>
      </c>
      <c r="H536">
        <v>2</v>
      </c>
    </row>
    <row r="537" spans="1:8" hidden="1" x14ac:dyDescent="0.25">
      <c r="A537" t="s">
        <v>71</v>
      </c>
      <c r="B537" t="s">
        <v>77</v>
      </c>
      <c r="C537" t="s">
        <v>78</v>
      </c>
      <c r="D537" t="s">
        <v>144</v>
      </c>
      <c r="E537" t="s">
        <v>75</v>
      </c>
      <c r="F537" s="171">
        <v>57199</v>
      </c>
      <c r="G537" s="171">
        <v>57199</v>
      </c>
      <c r="H537">
        <v>1</v>
      </c>
    </row>
    <row r="538" spans="1:8" hidden="1" x14ac:dyDescent="0.25">
      <c r="A538" t="s">
        <v>71</v>
      </c>
      <c r="B538" t="s">
        <v>77</v>
      </c>
      <c r="C538" t="s">
        <v>78</v>
      </c>
      <c r="D538" t="s">
        <v>145</v>
      </c>
      <c r="E538" t="s">
        <v>75</v>
      </c>
      <c r="F538" s="171">
        <v>210787</v>
      </c>
      <c r="G538" s="171">
        <v>105393</v>
      </c>
      <c r="H538">
        <v>2</v>
      </c>
    </row>
    <row r="539" spans="1:8" hidden="1" x14ac:dyDescent="0.25">
      <c r="A539" t="s">
        <v>71</v>
      </c>
      <c r="B539" t="s">
        <v>77</v>
      </c>
      <c r="C539" t="s">
        <v>78</v>
      </c>
      <c r="D539" t="s">
        <v>149</v>
      </c>
      <c r="E539" t="s">
        <v>75</v>
      </c>
      <c r="F539" s="171">
        <v>1846163</v>
      </c>
      <c r="G539" s="171">
        <v>10610</v>
      </c>
      <c r="H539">
        <v>174</v>
      </c>
    </row>
    <row r="540" spans="1:8" hidden="1" x14ac:dyDescent="0.25">
      <c r="A540" t="s">
        <v>71</v>
      </c>
      <c r="B540" t="s">
        <v>77</v>
      </c>
      <c r="C540" t="s">
        <v>78</v>
      </c>
      <c r="D540" t="s">
        <v>150</v>
      </c>
      <c r="E540" t="s">
        <v>75</v>
      </c>
      <c r="F540" s="171">
        <v>111552</v>
      </c>
      <c r="G540" s="171">
        <v>11155</v>
      </c>
      <c r="H540">
        <v>10</v>
      </c>
    </row>
    <row r="541" spans="1:8" hidden="1" x14ac:dyDescent="0.25">
      <c r="A541" t="s">
        <v>71</v>
      </c>
      <c r="B541" t="s">
        <v>77</v>
      </c>
      <c r="C541" t="s">
        <v>78</v>
      </c>
      <c r="D541" t="s">
        <v>151</v>
      </c>
      <c r="E541" t="s">
        <v>75</v>
      </c>
      <c r="F541" s="171">
        <v>301585</v>
      </c>
      <c r="G541" s="171">
        <v>8617</v>
      </c>
      <c r="H541">
        <v>35</v>
      </c>
    </row>
    <row r="542" spans="1:8" hidden="1" x14ac:dyDescent="0.25">
      <c r="A542" t="s">
        <v>71</v>
      </c>
      <c r="B542" t="s">
        <v>77</v>
      </c>
      <c r="C542" t="s">
        <v>78</v>
      </c>
      <c r="D542" t="s">
        <v>153</v>
      </c>
      <c r="E542" t="s">
        <v>75</v>
      </c>
      <c r="F542" s="171">
        <v>472619</v>
      </c>
      <c r="G542" s="171">
        <v>42965</v>
      </c>
      <c r="H542">
        <v>11</v>
      </c>
    </row>
    <row r="543" spans="1:8" hidden="1" x14ac:dyDescent="0.25">
      <c r="A543" t="s">
        <v>71</v>
      </c>
      <c r="B543" t="s">
        <v>77</v>
      </c>
      <c r="C543" t="s">
        <v>78</v>
      </c>
      <c r="D543" t="s">
        <v>155</v>
      </c>
      <c r="E543" t="s">
        <v>75</v>
      </c>
      <c r="F543" s="171">
        <v>198808</v>
      </c>
      <c r="G543" s="171">
        <v>15293</v>
      </c>
      <c r="H543">
        <v>13</v>
      </c>
    </row>
    <row r="544" spans="1:8" hidden="1" x14ac:dyDescent="0.25">
      <c r="A544" t="s">
        <v>71</v>
      </c>
      <c r="B544" t="s">
        <v>77</v>
      </c>
      <c r="C544" t="s">
        <v>78</v>
      </c>
      <c r="D544" t="s">
        <v>158</v>
      </c>
      <c r="E544" t="s">
        <v>75</v>
      </c>
      <c r="F544" s="171">
        <v>867307</v>
      </c>
      <c r="G544" s="171">
        <v>66716</v>
      </c>
      <c r="H544">
        <v>13</v>
      </c>
    </row>
    <row r="545" spans="1:8" hidden="1" x14ac:dyDescent="0.25">
      <c r="A545" t="s">
        <v>71</v>
      </c>
      <c r="B545" t="s">
        <v>77</v>
      </c>
      <c r="C545" t="s">
        <v>78</v>
      </c>
      <c r="D545" t="s">
        <v>159</v>
      </c>
      <c r="E545" t="s">
        <v>75</v>
      </c>
      <c r="F545" s="171">
        <v>19810</v>
      </c>
      <c r="G545" s="171">
        <v>6603</v>
      </c>
      <c r="H545">
        <v>3</v>
      </c>
    </row>
    <row r="546" spans="1:8" hidden="1" x14ac:dyDescent="0.25">
      <c r="A546" t="s">
        <v>71</v>
      </c>
      <c r="B546" t="s">
        <v>77</v>
      </c>
      <c r="C546" t="s">
        <v>78</v>
      </c>
      <c r="D546" t="s">
        <v>162</v>
      </c>
      <c r="E546" t="s">
        <v>75</v>
      </c>
      <c r="F546" s="171">
        <v>15716432</v>
      </c>
      <c r="G546" s="171">
        <v>115562</v>
      </c>
      <c r="H546">
        <v>136</v>
      </c>
    </row>
    <row r="547" spans="1:8" hidden="1" x14ac:dyDescent="0.25">
      <c r="A547" t="s">
        <v>71</v>
      </c>
      <c r="B547" t="s">
        <v>77</v>
      </c>
      <c r="C547" t="s">
        <v>78</v>
      </c>
      <c r="D547" t="s">
        <v>163</v>
      </c>
      <c r="E547" t="s">
        <v>75</v>
      </c>
      <c r="F547" s="171">
        <v>50232</v>
      </c>
      <c r="G547" s="171">
        <v>25116</v>
      </c>
      <c r="H547">
        <v>2</v>
      </c>
    </row>
    <row r="548" spans="1:8" hidden="1" x14ac:dyDescent="0.25">
      <c r="A548" t="s">
        <v>71</v>
      </c>
      <c r="B548" t="s">
        <v>77</v>
      </c>
      <c r="C548" t="s">
        <v>78</v>
      </c>
      <c r="D548" t="s">
        <v>165</v>
      </c>
      <c r="E548" t="s">
        <v>75</v>
      </c>
      <c r="F548" s="171">
        <v>731</v>
      </c>
      <c r="G548" s="171">
        <v>731</v>
      </c>
      <c r="H548">
        <v>1</v>
      </c>
    </row>
    <row r="549" spans="1:8" hidden="1" x14ac:dyDescent="0.25">
      <c r="A549" t="s">
        <v>71</v>
      </c>
      <c r="B549" t="s">
        <v>77</v>
      </c>
      <c r="C549" t="s">
        <v>78</v>
      </c>
      <c r="D549" t="s">
        <v>166</v>
      </c>
      <c r="E549" t="s">
        <v>75</v>
      </c>
      <c r="F549" s="171">
        <v>149472</v>
      </c>
      <c r="G549" s="171">
        <v>149472</v>
      </c>
      <c r="H549">
        <v>1</v>
      </c>
    </row>
    <row r="550" spans="1:8" hidden="1" x14ac:dyDescent="0.25">
      <c r="A550" t="s">
        <v>71</v>
      </c>
      <c r="B550" t="s">
        <v>77</v>
      </c>
      <c r="C550" t="s">
        <v>78</v>
      </c>
      <c r="D550" t="s">
        <v>169</v>
      </c>
      <c r="E550" t="s">
        <v>75</v>
      </c>
      <c r="F550" s="171">
        <v>14004781</v>
      </c>
      <c r="G550" s="171">
        <v>14423</v>
      </c>
      <c r="H550">
        <v>971</v>
      </c>
    </row>
    <row r="551" spans="1:8" hidden="1" x14ac:dyDescent="0.25">
      <c r="A551" t="s">
        <v>71</v>
      </c>
      <c r="B551" t="s">
        <v>77</v>
      </c>
      <c r="C551" t="s">
        <v>78</v>
      </c>
      <c r="D551" t="s">
        <v>171</v>
      </c>
      <c r="E551" t="s">
        <v>75</v>
      </c>
      <c r="F551" s="171">
        <v>119333</v>
      </c>
      <c r="G551" s="171">
        <v>19889</v>
      </c>
      <c r="H551">
        <v>6</v>
      </c>
    </row>
    <row r="552" spans="1:8" hidden="1" x14ac:dyDescent="0.25">
      <c r="A552" t="s">
        <v>71</v>
      </c>
      <c r="B552" t="s">
        <v>77</v>
      </c>
      <c r="C552" t="s">
        <v>78</v>
      </c>
      <c r="D552" t="s">
        <v>174</v>
      </c>
      <c r="E552" t="s">
        <v>75</v>
      </c>
      <c r="F552" s="171">
        <v>1011207</v>
      </c>
      <c r="G552" s="171">
        <v>21067</v>
      </c>
      <c r="H552">
        <v>48</v>
      </c>
    </row>
    <row r="553" spans="1:8" hidden="1" x14ac:dyDescent="0.25">
      <c r="A553" t="s">
        <v>71</v>
      </c>
      <c r="B553" t="s">
        <v>77</v>
      </c>
      <c r="C553" t="s">
        <v>78</v>
      </c>
      <c r="D553" t="s">
        <v>175</v>
      </c>
      <c r="E553" t="s">
        <v>75</v>
      </c>
      <c r="F553" s="171">
        <v>5385</v>
      </c>
      <c r="G553" s="171">
        <v>2693</v>
      </c>
      <c r="H553">
        <v>2</v>
      </c>
    </row>
    <row r="554" spans="1:8" hidden="1" x14ac:dyDescent="0.25">
      <c r="A554" t="s">
        <v>71</v>
      </c>
      <c r="B554" t="s">
        <v>77</v>
      </c>
      <c r="C554" t="s">
        <v>78</v>
      </c>
      <c r="D554" t="s">
        <v>176</v>
      </c>
      <c r="E554" t="s">
        <v>75</v>
      </c>
      <c r="F554" s="171">
        <v>1539595</v>
      </c>
      <c r="G554" s="171">
        <v>12123</v>
      </c>
      <c r="H554">
        <v>127</v>
      </c>
    </row>
    <row r="555" spans="1:8" hidden="1" x14ac:dyDescent="0.25">
      <c r="A555" t="s">
        <v>71</v>
      </c>
      <c r="B555" t="s">
        <v>77</v>
      </c>
      <c r="C555" t="s">
        <v>78</v>
      </c>
      <c r="D555" t="s">
        <v>177</v>
      </c>
      <c r="E555" t="s">
        <v>75</v>
      </c>
      <c r="F555" s="171">
        <v>8541362</v>
      </c>
      <c r="G555" s="171">
        <v>15615</v>
      </c>
      <c r="H555">
        <v>547</v>
      </c>
    </row>
    <row r="556" spans="1:8" hidden="1" x14ac:dyDescent="0.25">
      <c r="A556" t="s">
        <v>71</v>
      </c>
      <c r="B556" t="s">
        <v>77</v>
      </c>
      <c r="C556" t="s">
        <v>78</v>
      </c>
      <c r="D556" t="s">
        <v>178</v>
      </c>
      <c r="E556" t="s">
        <v>75</v>
      </c>
      <c r="F556" s="171">
        <v>3450592</v>
      </c>
      <c r="G556" s="171">
        <v>104563</v>
      </c>
      <c r="H556">
        <v>33</v>
      </c>
    </row>
    <row r="557" spans="1:8" hidden="1" x14ac:dyDescent="0.25">
      <c r="A557" t="s">
        <v>71</v>
      </c>
      <c r="B557" t="s">
        <v>77</v>
      </c>
      <c r="C557" t="s">
        <v>78</v>
      </c>
      <c r="D557" t="s">
        <v>180</v>
      </c>
      <c r="E557" t="s">
        <v>75</v>
      </c>
      <c r="F557" s="171">
        <v>15708303</v>
      </c>
      <c r="G557" s="171">
        <v>115502</v>
      </c>
      <c r="H557">
        <v>136</v>
      </c>
    </row>
    <row r="558" spans="1:8" hidden="1" x14ac:dyDescent="0.25">
      <c r="A558" t="s">
        <v>71</v>
      </c>
      <c r="B558" t="s">
        <v>77</v>
      </c>
      <c r="C558" t="s">
        <v>78</v>
      </c>
      <c r="D558" t="s">
        <v>183</v>
      </c>
      <c r="E558" t="s">
        <v>75</v>
      </c>
      <c r="F558" s="171">
        <v>25480</v>
      </c>
      <c r="G558" s="171">
        <v>12740</v>
      </c>
      <c r="H558">
        <v>2</v>
      </c>
    </row>
    <row r="559" spans="1:8" hidden="1" x14ac:dyDescent="0.25">
      <c r="A559" t="s">
        <v>71</v>
      </c>
      <c r="B559" t="s">
        <v>77</v>
      </c>
      <c r="C559" t="s">
        <v>78</v>
      </c>
      <c r="D559" t="s">
        <v>184</v>
      </c>
      <c r="E559" t="s">
        <v>75</v>
      </c>
      <c r="F559" s="171">
        <v>153039</v>
      </c>
      <c r="G559" s="171">
        <v>25506</v>
      </c>
      <c r="H559">
        <v>6</v>
      </c>
    </row>
    <row r="560" spans="1:8" hidden="1" x14ac:dyDescent="0.25">
      <c r="A560" t="s">
        <v>71</v>
      </c>
      <c r="B560" t="s">
        <v>77</v>
      </c>
      <c r="C560" t="s">
        <v>78</v>
      </c>
      <c r="D560" t="s">
        <v>185</v>
      </c>
      <c r="E560" t="s">
        <v>75</v>
      </c>
      <c r="F560" s="171">
        <v>36533</v>
      </c>
      <c r="G560" s="171">
        <v>4567</v>
      </c>
      <c r="H560">
        <v>8</v>
      </c>
    </row>
    <row r="561" spans="1:8" hidden="1" x14ac:dyDescent="0.25">
      <c r="A561" t="s">
        <v>186</v>
      </c>
      <c r="B561" t="s">
        <v>190</v>
      </c>
      <c r="C561" t="s">
        <v>123</v>
      </c>
      <c r="D561" t="s">
        <v>124</v>
      </c>
      <c r="E561" t="s">
        <v>75</v>
      </c>
      <c r="F561" s="171">
        <v>2039119</v>
      </c>
      <c r="G561" s="171">
        <v>10732</v>
      </c>
      <c r="H561">
        <v>190</v>
      </c>
    </row>
    <row r="562" spans="1:8" hidden="1" x14ac:dyDescent="0.25">
      <c r="A562" t="s">
        <v>186</v>
      </c>
      <c r="B562" t="s">
        <v>190</v>
      </c>
      <c r="C562" t="s">
        <v>123</v>
      </c>
      <c r="D562" t="s">
        <v>181</v>
      </c>
      <c r="E562" t="s">
        <v>75</v>
      </c>
      <c r="F562" s="171">
        <v>24903559</v>
      </c>
      <c r="G562" s="171">
        <v>15555</v>
      </c>
      <c r="H562">
        <v>1601</v>
      </c>
    </row>
    <row r="563" spans="1:8" hidden="1" x14ac:dyDescent="0.25">
      <c r="A563" t="s">
        <v>186</v>
      </c>
      <c r="B563" t="s">
        <v>187</v>
      </c>
      <c r="C563" t="s">
        <v>123</v>
      </c>
      <c r="D563" t="s">
        <v>124</v>
      </c>
      <c r="E563" t="s">
        <v>75</v>
      </c>
      <c r="F563" s="171">
        <v>2190530</v>
      </c>
      <c r="G563" s="171">
        <v>11777</v>
      </c>
      <c r="H563">
        <v>186</v>
      </c>
    </row>
    <row r="564" spans="1:8" hidden="1" x14ac:dyDescent="0.25">
      <c r="A564" t="s">
        <v>186</v>
      </c>
      <c r="B564" t="s">
        <v>187</v>
      </c>
      <c r="C564" t="s">
        <v>123</v>
      </c>
      <c r="D564" t="s">
        <v>181</v>
      </c>
      <c r="E564" t="s">
        <v>75</v>
      </c>
      <c r="F564" s="171">
        <v>28116501</v>
      </c>
      <c r="G564" s="171">
        <v>17773</v>
      </c>
      <c r="H564">
        <v>1582</v>
      </c>
    </row>
    <row r="565" spans="1:8" hidden="1" x14ac:dyDescent="0.25">
      <c r="A565" t="s">
        <v>186</v>
      </c>
      <c r="B565" t="s">
        <v>188</v>
      </c>
      <c r="C565" t="s">
        <v>123</v>
      </c>
      <c r="D565" t="s">
        <v>124</v>
      </c>
      <c r="E565" t="s">
        <v>75</v>
      </c>
      <c r="F565" s="171">
        <v>2240414</v>
      </c>
      <c r="G565" s="171">
        <v>11146</v>
      </c>
      <c r="H565">
        <v>201</v>
      </c>
    </row>
    <row r="566" spans="1:8" hidden="1" x14ac:dyDescent="0.25">
      <c r="A566" t="s">
        <v>186</v>
      </c>
      <c r="B566" t="s">
        <v>188</v>
      </c>
      <c r="C566" t="s">
        <v>123</v>
      </c>
      <c r="D566" t="s">
        <v>181</v>
      </c>
      <c r="E566" t="s">
        <v>75</v>
      </c>
      <c r="F566" s="171">
        <v>28703719</v>
      </c>
      <c r="G566" s="171">
        <v>17556</v>
      </c>
      <c r="H566">
        <v>1635</v>
      </c>
    </row>
    <row r="567" spans="1:8" hidden="1" x14ac:dyDescent="0.25">
      <c r="A567" t="s">
        <v>186</v>
      </c>
      <c r="B567" t="s">
        <v>189</v>
      </c>
      <c r="C567" t="s">
        <v>123</v>
      </c>
      <c r="D567" t="s">
        <v>124</v>
      </c>
      <c r="E567" t="s">
        <v>75</v>
      </c>
      <c r="F567" s="171">
        <v>2345384</v>
      </c>
      <c r="G567" s="171">
        <v>11845</v>
      </c>
      <c r="H567">
        <v>198</v>
      </c>
    </row>
    <row r="568" spans="1:8" hidden="1" x14ac:dyDescent="0.25">
      <c r="A568" t="s">
        <v>186</v>
      </c>
      <c r="B568" t="s">
        <v>189</v>
      </c>
      <c r="C568" t="s">
        <v>123</v>
      </c>
      <c r="D568" t="s">
        <v>181</v>
      </c>
      <c r="E568" t="s">
        <v>75</v>
      </c>
      <c r="F568" s="171">
        <v>23387880</v>
      </c>
      <c r="G568" s="171">
        <v>14663</v>
      </c>
      <c r="H568">
        <v>1595</v>
      </c>
    </row>
    <row r="569" spans="1:8" hidden="1" x14ac:dyDescent="0.25">
      <c r="A569" t="s">
        <v>71</v>
      </c>
      <c r="B569" t="s">
        <v>76</v>
      </c>
      <c r="C569" t="s">
        <v>123</v>
      </c>
      <c r="D569" t="s">
        <v>124</v>
      </c>
      <c r="E569" t="s">
        <v>75</v>
      </c>
      <c r="F569" s="171">
        <v>2798817</v>
      </c>
      <c r="G569" s="171">
        <v>13924</v>
      </c>
      <c r="H569">
        <v>201</v>
      </c>
    </row>
    <row r="570" spans="1:8" hidden="1" x14ac:dyDescent="0.25">
      <c r="A570" t="s">
        <v>71</v>
      </c>
      <c r="B570" t="s">
        <v>76</v>
      </c>
      <c r="C570" t="s">
        <v>123</v>
      </c>
      <c r="D570" t="s">
        <v>181</v>
      </c>
      <c r="E570" t="s">
        <v>75</v>
      </c>
      <c r="F570" s="171">
        <v>27492464</v>
      </c>
      <c r="G570" s="171">
        <v>16682</v>
      </c>
      <c r="H570">
        <v>1648</v>
      </c>
    </row>
    <row r="571" spans="1:8" hidden="1" x14ac:dyDescent="0.25">
      <c r="A571" t="s">
        <v>71</v>
      </c>
      <c r="B571" t="s">
        <v>72</v>
      </c>
      <c r="C571" t="s">
        <v>123</v>
      </c>
      <c r="D571" t="s">
        <v>124</v>
      </c>
      <c r="E571" t="s">
        <v>75</v>
      </c>
      <c r="F571" s="171">
        <v>2911995</v>
      </c>
      <c r="G571" s="171">
        <v>13801</v>
      </c>
      <c r="H571">
        <v>211</v>
      </c>
    </row>
    <row r="572" spans="1:8" hidden="1" x14ac:dyDescent="0.25">
      <c r="A572" t="s">
        <v>71</v>
      </c>
      <c r="B572" t="s">
        <v>72</v>
      </c>
      <c r="C572" t="s">
        <v>123</v>
      </c>
      <c r="D572" t="s">
        <v>181</v>
      </c>
      <c r="E572" t="s">
        <v>75</v>
      </c>
      <c r="F572" s="171">
        <v>27961839</v>
      </c>
      <c r="G572" s="171">
        <v>17368</v>
      </c>
      <c r="H572">
        <v>1610</v>
      </c>
    </row>
    <row r="573" spans="1:8" hidden="1" x14ac:dyDescent="0.25">
      <c r="A573" t="s">
        <v>71</v>
      </c>
      <c r="B573" t="s">
        <v>77</v>
      </c>
      <c r="C573" t="s">
        <v>123</v>
      </c>
      <c r="D573" t="s">
        <v>124</v>
      </c>
      <c r="E573" t="s">
        <v>75</v>
      </c>
      <c r="F573" s="171">
        <v>3167271</v>
      </c>
      <c r="G573" s="171">
        <v>15526</v>
      </c>
      <c r="H573">
        <v>204</v>
      </c>
    </row>
    <row r="574" spans="1:8" hidden="1" x14ac:dyDescent="0.25">
      <c r="A574" t="s">
        <v>71</v>
      </c>
      <c r="B574" t="s">
        <v>77</v>
      </c>
      <c r="C574" t="s">
        <v>123</v>
      </c>
      <c r="D574" t="s">
        <v>181</v>
      </c>
      <c r="E574" t="s">
        <v>75</v>
      </c>
      <c r="F574" s="171">
        <v>28473373</v>
      </c>
      <c r="G574" s="171">
        <v>17796</v>
      </c>
      <c r="H574">
        <v>1600</v>
      </c>
    </row>
    <row r="575" spans="1:8" hidden="1" x14ac:dyDescent="0.25">
      <c r="A575" t="s">
        <v>186</v>
      </c>
      <c r="B575" t="s">
        <v>190</v>
      </c>
      <c r="C575" t="s">
        <v>5</v>
      </c>
      <c r="D575" t="s">
        <v>83</v>
      </c>
      <c r="E575" t="s">
        <v>75</v>
      </c>
      <c r="F575" s="171">
        <v>2420387</v>
      </c>
      <c r="G575" s="171">
        <v>10478</v>
      </c>
      <c r="H575">
        <v>231</v>
      </c>
    </row>
    <row r="576" spans="1:8" x14ac:dyDescent="0.25">
      <c r="A576" t="s">
        <v>186</v>
      </c>
      <c r="B576" t="s">
        <v>190</v>
      </c>
      <c r="C576" t="s">
        <v>5</v>
      </c>
      <c r="D576" t="s">
        <v>87</v>
      </c>
      <c r="E576" t="s">
        <v>75</v>
      </c>
      <c r="F576" s="171">
        <v>3230630</v>
      </c>
      <c r="G576" s="171">
        <v>6474</v>
      </c>
      <c r="H576">
        <v>499</v>
      </c>
    </row>
    <row r="577" spans="1:8" hidden="1" x14ac:dyDescent="0.25">
      <c r="A577" t="s">
        <v>186</v>
      </c>
      <c r="B577" t="s">
        <v>190</v>
      </c>
      <c r="C577" t="s">
        <v>5</v>
      </c>
      <c r="D577" t="s">
        <v>103</v>
      </c>
      <c r="E577" t="s">
        <v>75</v>
      </c>
      <c r="F577" s="171">
        <v>2035665</v>
      </c>
      <c r="G577" s="171">
        <v>16285</v>
      </c>
      <c r="H577">
        <v>125</v>
      </c>
    </row>
    <row r="578" spans="1:8" hidden="1" x14ac:dyDescent="0.25">
      <c r="A578" t="s">
        <v>186</v>
      </c>
      <c r="B578" t="s">
        <v>190</v>
      </c>
      <c r="C578" t="s">
        <v>5</v>
      </c>
      <c r="D578" t="s">
        <v>109</v>
      </c>
      <c r="E578" t="s">
        <v>75</v>
      </c>
      <c r="F578" s="171">
        <v>2564683</v>
      </c>
      <c r="G578" s="171">
        <v>15176</v>
      </c>
      <c r="H578">
        <v>169</v>
      </c>
    </row>
    <row r="579" spans="1:8" x14ac:dyDescent="0.25">
      <c r="A579" t="s">
        <v>186</v>
      </c>
      <c r="B579" t="s">
        <v>190</v>
      </c>
      <c r="C579" t="s">
        <v>5</v>
      </c>
      <c r="D579" t="s">
        <v>139</v>
      </c>
      <c r="E579" t="s">
        <v>75</v>
      </c>
      <c r="F579" s="171">
        <v>143398</v>
      </c>
      <c r="G579" s="171">
        <v>5311</v>
      </c>
      <c r="H579">
        <v>27</v>
      </c>
    </row>
    <row r="580" spans="1:8" hidden="1" x14ac:dyDescent="0.25">
      <c r="A580" t="s">
        <v>186</v>
      </c>
      <c r="B580" t="s">
        <v>190</v>
      </c>
      <c r="C580" t="s">
        <v>5</v>
      </c>
      <c r="D580" t="s">
        <v>152</v>
      </c>
      <c r="E580" t="s">
        <v>75</v>
      </c>
      <c r="F580" s="171">
        <v>7970865</v>
      </c>
      <c r="G580" s="171">
        <v>11739</v>
      </c>
      <c r="H580">
        <v>679</v>
      </c>
    </row>
    <row r="581" spans="1:8" hidden="1" x14ac:dyDescent="0.25">
      <c r="A581" t="s">
        <v>186</v>
      </c>
      <c r="B581" t="s">
        <v>190</v>
      </c>
      <c r="C581" t="s">
        <v>5</v>
      </c>
      <c r="D581" t="s">
        <v>154</v>
      </c>
      <c r="E581" t="s">
        <v>75</v>
      </c>
      <c r="F581" s="171">
        <v>1259731</v>
      </c>
      <c r="G581" s="171">
        <v>8934</v>
      </c>
      <c r="H581">
        <v>141</v>
      </c>
    </row>
    <row r="582" spans="1:8" hidden="1" x14ac:dyDescent="0.25">
      <c r="A582" t="s">
        <v>186</v>
      </c>
      <c r="B582" t="s">
        <v>190</v>
      </c>
      <c r="C582" t="s">
        <v>5</v>
      </c>
      <c r="D582" t="s">
        <v>157</v>
      </c>
      <c r="E582" t="s">
        <v>75</v>
      </c>
      <c r="F582" s="171">
        <v>1871880</v>
      </c>
      <c r="G582" s="171">
        <v>6058</v>
      </c>
      <c r="H582">
        <v>309</v>
      </c>
    </row>
    <row r="583" spans="1:8" hidden="1" x14ac:dyDescent="0.25">
      <c r="A583" t="s">
        <v>186</v>
      </c>
      <c r="B583" t="s">
        <v>190</v>
      </c>
      <c r="C583" t="s">
        <v>5</v>
      </c>
      <c r="D583" t="s">
        <v>170</v>
      </c>
      <c r="E583" t="s">
        <v>75</v>
      </c>
      <c r="F583" s="171">
        <v>10454623</v>
      </c>
      <c r="G583" s="171">
        <v>7088</v>
      </c>
      <c r="H583">
        <v>1475</v>
      </c>
    </row>
    <row r="584" spans="1:8" hidden="1" x14ac:dyDescent="0.25">
      <c r="A584" t="s">
        <v>186</v>
      </c>
      <c r="B584" t="s">
        <v>190</v>
      </c>
      <c r="C584" t="s">
        <v>5</v>
      </c>
      <c r="D584" t="s">
        <v>172</v>
      </c>
      <c r="E584" t="s">
        <v>75</v>
      </c>
      <c r="F584" s="171">
        <v>5167893</v>
      </c>
      <c r="G584" s="171">
        <v>16000</v>
      </c>
      <c r="H584">
        <v>323</v>
      </c>
    </row>
    <row r="585" spans="1:8" hidden="1" x14ac:dyDescent="0.25">
      <c r="A585" t="s">
        <v>186</v>
      </c>
      <c r="B585" t="s">
        <v>190</v>
      </c>
      <c r="C585" t="s">
        <v>5</v>
      </c>
      <c r="D585" t="s">
        <v>173</v>
      </c>
      <c r="E585" t="s">
        <v>75</v>
      </c>
      <c r="F585" s="171">
        <v>4187587</v>
      </c>
      <c r="G585" s="171">
        <v>9784</v>
      </c>
      <c r="H585">
        <v>428</v>
      </c>
    </row>
    <row r="586" spans="1:8" hidden="1" x14ac:dyDescent="0.25">
      <c r="A586" t="s">
        <v>186</v>
      </c>
      <c r="B586" t="s">
        <v>187</v>
      </c>
      <c r="C586" t="s">
        <v>5</v>
      </c>
      <c r="D586" t="s">
        <v>83</v>
      </c>
      <c r="E586" t="s">
        <v>75</v>
      </c>
      <c r="F586" s="171">
        <v>2183997</v>
      </c>
      <c r="G586" s="171">
        <v>9496</v>
      </c>
      <c r="H586">
        <v>230</v>
      </c>
    </row>
    <row r="587" spans="1:8" x14ac:dyDescent="0.25">
      <c r="A587" t="s">
        <v>186</v>
      </c>
      <c r="B587" t="s">
        <v>187</v>
      </c>
      <c r="C587" t="s">
        <v>5</v>
      </c>
      <c r="D587" t="s">
        <v>87</v>
      </c>
      <c r="E587" t="s">
        <v>75</v>
      </c>
      <c r="F587" s="171">
        <v>3380195</v>
      </c>
      <c r="G587" s="171">
        <v>6774</v>
      </c>
      <c r="H587">
        <v>499</v>
      </c>
    </row>
    <row r="588" spans="1:8" hidden="1" x14ac:dyDescent="0.25">
      <c r="A588" t="s">
        <v>186</v>
      </c>
      <c r="B588" t="s">
        <v>187</v>
      </c>
      <c r="C588" t="s">
        <v>5</v>
      </c>
      <c r="D588" t="s">
        <v>103</v>
      </c>
      <c r="E588" t="s">
        <v>75</v>
      </c>
      <c r="F588" s="171">
        <v>1509611</v>
      </c>
      <c r="G588" s="171">
        <v>12686</v>
      </c>
      <c r="H588">
        <v>119</v>
      </c>
    </row>
    <row r="589" spans="1:8" hidden="1" x14ac:dyDescent="0.25">
      <c r="A589" t="s">
        <v>186</v>
      </c>
      <c r="B589" t="s">
        <v>187</v>
      </c>
      <c r="C589" t="s">
        <v>5</v>
      </c>
      <c r="D589" t="s">
        <v>109</v>
      </c>
      <c r="E589" t="s">
        <v>75</v>
      </c>
      <c r="F589" s="171">
        <v>2233987</v>
      </c>
      <c r="G589" s="171">
        <v>12988</v>
      </c>
      <c r="H589">
        <v>172</v>
      </c>
    </row>
    <row r="590" spans="1:8" x14ac:dyDescent="0.25">
      <c r="A590" t="s">
        <v>186</v>
      </c>
      <c r="B590" t="s">
        <v>187</v>
      </c>
      <c r="C590" t="s">
        <v>5</v>
      </c>
      <c r="D590" t="s">
        <v>139</v>
      </c>
      <c r="E590" t="s">
        <v>75</v>
      </c>
      <c r="F590" s="171">
        <v>147120</v>
      </c>
      <c r="G590" s="171">
        <v>6130</v>
      </c>
      <c r="H590">
        <v>24</v>
      </c>
    </row>
    <row r="591" spans="1:8" hidden="1" x14ac:dyDescent="0.25">
      <c r="A591" t="s">
        <v>186</v>
      </c>
      <c r="B591" t="s">
        <v>187</v>
      </c>
      <c r="C591" t="s">
        <v>5</v>
      </c>
      <c r="D591" t="s">
        <v>152</v>
      </c>
      <c r="E591" t="s">
        <v>75</v>
      </c>
      <c r="F591" s="171">
        <v>7008771</v>
      </c>
      <c r="G591" s="171">
        <v>9816</v>
      </c>
      <c r="H591">
        <v>714</v>
      </c>
    </row>
    <row r="592" spans="1:8" hidden="1" x14ac:dyDescent="0.25">
      <c r="A592" t="s">
        <v>186</v>
      </c>
      <c r="B592" t="s">
        <v>187</v>
      </c>
      <c r="C592" t="s">
        <v>5</v>
      </c>
      <c r="D592" t="s">
        <v>154</v>
      </c>
      <c r="E592" t="s">
        <v>75</v>
      </c>
      <c r="F592" s="171">
        <v>1314924</v>
      </c>
      <c r="G592" s="171">
        <v>9392</v>
      </c>
      <c r="H592">
        <v>140</v>
      </c>
    </row>
    <row r="593" spans="1:8" hidden="1" x14ac:dyDescent="0.25">
      <c r="A593" t="s">
        <v>186</v>
      </c>
      <c r="B593" t="s">
        <v>187</v>
      </c>
      <c r="C593" t="s">
        <v>5</v>
      </c>
      <c r="D593" t="s">
        <v>157</v>
      </c>
      <c r="E593" t="s">
        <v>75</v>
      </c>
      <c r="F593" s="171">
        <v>1797735</v>
      </c>
      <c r="G593" s="171">
        <v>5618</v>
      </c>
      <c r="H593">
        <v>320</v>
      </c>
    </row>
    <row r="594" spans="1:8" hidden="1" x14ac:dyDescent="0.25">
      <c r="A594" t="s">
        <v>186</v>
      </c>
      <c r="B594" t="s">
        <v>187</v>
      </c>
      <c r="C594" t="s">
        <v>5</v>
      </c>
      <c r="D594" t="s">
        <v>170</v>
      </c>
      <c r="E594" t="s">
        <v>75</v>
      </c>
      <c r="F594" s="171">
        <v>11480602</v>
      </c>
      <c r="G594" s="171">
        <v>7533</v>
      </c>
      <c r="H594">
        <v>1524</v>
      </c>
    </row>
    <row r="595" spans="1:8" hidden="1" x14ac:dyDescent="0.25">
      <c r="A595" t="s">
        <v>186</v>
      </c>
      <c r="B595" t="s">
        <v>187</v>
      </c>
      <c r="C595" t="s">
        <v>5</v>
      </c>
      <c r="D595" t="s">
        <v>172</v>
      </c>
      <c r="E595" t="s">
        <v>75</v>
      </c>
      <c r="F595" s="171">
        <v>3699863</v>
      </c>
      <c r="G595" s="171">
        <v>12052</v>
      </c>
      <c r="H595">
        <v>307</v>
      </c>
    </row>
    <row r="596" spans="1:8" hidden="1" x14ac:dyDescent="0.25">
      <c r="A596" t="s">
        <v>186</v>
      </c>
      <c r="B596" t="s">
        <v>187</v>
      </c>
      <c r="C596" t="s">
        <v>5</v>
      </c>
      <c r="D596" t="s">
        <v>173</v>
      </c>
      <c r="E596" t="s">
        <v>75</v>
      </c>
      <c r="F596" s="171">
        <v>3351764</v>
      </c>
      <c r="G596" s="171">
        <v>8296</v>
      </c>
      <c r="H596">
        <v>404</v>
      </c>
    </row>
    <row r="597" spans="1:8" hidden="1" x14ac:dyDescent="0.25">
      <c r="A597" t="s">
        <v>186</v>
      </c>
      <c r="B597" t="s">
        <v>188</v>
      </c>
      <c r="C597" t="s">
        <v>5</v>
      </c>
      <c r="D597" t="s">
        <v>83</v>
      </c>
      <c r="E597" t="s">
        <v>75</v>
      </c>
      <c r="F597" s="171">
        <v>2695375</v>
      </c>
      <c r="G597" s="171">
        <v>10327</v>
      </c>
      <c r="H597">
        <v>261</v>
      </c>
    </row>
    <row r="598" spans="1:8" x14ac:dyDescent="0.25">
      <c r="A598" t="s">
        <v>186</v>
      </c>
      <c r="B598" t="s">
        <v>188</v>
      </c>
      <c r="C598" t="s">
        <v>5</v>
      </c>
      <c r="D598" t="s">
        <v>87</v>
      </c>
      <c r="E598" t="s">
        <v>75</v>
      </c>
      <c r="F598" s="171">
        <v>3842017</v>
      </c>
      <c r="G598" s="171">
        <v>6910</v>
      </c>
      <c r="H598">
        <v>556</v>
      </c>
    </row>
    <row r="599" spans="1:8" hidden="1" x14ac:dyDescent="0.25">
      <c r="A599" t="s">
        <v>186</v>
      </c>
      <c r="B599" t="s">
        <v>188</v>
      </c>
      <c r="C599" t="s">
        <v>5</v>
      </c>
      <c r="D599" t="s">
        <v>103</v>
      </c>
      <c r="E599" t="s">
        <v>75</v>
      </c>
      <c r="F599" s="171">
        <v>1917555</v>
      </c>
      <c r="G599" s="171">
        <v>15590</v>
      </c>
      <c r="H599">
        <v>123</v>
      </c>
    </row>
    <row r="600" spans="1:8" hidden="1" x14ac:dyDescent="0.25">
      <c r="A600" t="s">
        <v>186</v>
      </c>
      <c r="B600" t="s">
        <v>188</v>
      </c>
      <c r="C600" t="s">
        <v>5</v>
      </c>
      <c r="D600" t="s">
        <v>109</v>
      </c>
      <c r="E600" t="s">
        <v>75</v>
      </c>
      <c r="F600" s="171">
        <v>2568676</v>
      </c>
      <c r="G600" s="171">
        <v>13591</v>
      </c>
      <c r="H600">
        <v>189</v>
      </c>
    </row>
    <row r="601" spans="1:8" x14ac:dyDescent="0.25">
      <c r="A601" t="s">
        <v>186</v>
      </c>
      <c r="B601" t="s">
        <v>188</v>
      </c>
      <c r="C601" t="s">
        <v>5</v>
      </c>
      <c r="D601" t="s">
        <v>139</v>
      </c>
      <c r="E601" t="s">
        <v>75</v>
      </c>
      <c r="F601" s="171">
        <v>155110</v>
      </c>
      <c r="G601" s="171">
        <v>5004</v>
      </c>
      <c r="H601">
        <v>31</v>
      </c>
    </row>
    <row r="602" spans="1:8" hidden="1" x14ac:dyDescent="0.25">
      <c r="A602" t="s">
        <v>186</v>
      </c>
      <c r="B602" t="s">
        <v>188</v>
      </c>
      <c r="C602" t="s">
        <v>5</v>
      </c>
      <c r="D602" t="s">
        <v>152</v>
      </c>
      <c r="E602" t="s">
        <v>75</v>
      </c>
      <c r="F602" s="171">
        <v>8902269</v>
      </c>
      <c r="G602" s="171">
        <v>11399</v>
      </c>
      <c r="H602">
        <v>781</v>
      </c>
    </row>
    <row r="603" spans="1:8" hidden="1" x14ac:dyDescent="0.25">
      <c r="A603" t="s">
        <v>186</v>
      </c>
      <c r="B603" t="s">
        <v>188</v>
      </c>
      <c r="C603" t="s">
        <v>5</v>
      </c>
      <c r="D603" t="s">
        <v>154</v>
      </c>
      <c r="E603" t="s">
        <v>75</v>
      </c>
      <c r="F603" s="171">
        <v>1584502</v>
      </c>
      <c r="G603" s="171">
        <v>10779</v>
      </c>
      <c r="H603">
        <v>147</v>
      </c>
    </row>
    <row r="604" spans="1:8" hidden="1" x14ac:dyDescent="0.25">
      <c r="A604" t="s">
        <v>186</v>
      </c>
      <c r="B604" t="s">
        <v>188</v>
      </c>
      <c r="C604" t="s">
        <v>5</v>
      </c>
      <c r="D604" t="s">
        <v>157</v>
      </c>
      <c r="E604" t="s">
        <v>75</v>
      </c>
      <c r="F604" s="171">
        <v>2105001</v>
      </c>
      <c r="G604" s="171">
        <v>7309</v>
      </c>
      <c r="H604">
        <v>288</v>
      </c>
    </row>
    <row r="605" spans="1:8" hidden="1" x14ac:dyDescent="0.25">
      <c r="A605" t="s">
        <v>186</v>
      </c>
      <c r="B605" t="s">
        <v>188</v>
      </c>
      <c r="C605" t="s">
        <v>5</v>
      </c>
      <c r="D605" t="s">
        <v>170</v>
      </c>
      <c r="E605" t="s">
        <v>75</v>
      </c>
      <c r="F605" s="171">
        <v>10331835</v>
      </c>
      <c r="G605" s="171">
        <v>7145</v>
      </c>
      <c r="H605">
        <v>1446</v>
      </c>
    </row>
    <row r="606" spans="1:8" hidden="1" x14ac:dyDescent="0.25">
      <c r="A606" t="s">
        <v>186</v>
      </c>
      <c r="B606" t="s">
        <v>188</v>
      </c>
      <c r="C606" t="s">
        <v>5</v>
      </c>
      <c r="D606" t="s">
        <v>172</v>
      </c>
      <c r="E606" t="s">
        <v>75</v>
      </c>
      <c r="F606" s="171">
        <v>5335181</v>
      </c>
      <c r="G606" s="171">
        <v>15974</v>
      </c>
      <c r="H606">
        <v>334</v>
      </c>
    </row>
    <row r="607" spans="1:8" hidden="1" x14ac:dyDescent="0.25">
      <c r="A607" t="s">
        <v>186</v>
      </c>
      <c r="B607" t="s">
        <v>188</v>
      </c>
      <c r="C607" t="s">
        <v>5</v>
      </c>
      <c r="D607" t="s">
        <v>173</v>
      </c>
      <c r="E607" t="s">
        <v>75</v>
      </c>
      <c r="F607" s="171">
        <v>5056164</v>
      </c>
      <c r="G607" s="171">
        <v>11981</v>
      </c>
      <c r="H607">
        <v>422</v>
      </c>
    </row>
    <row r="608" spans="1:8" hidden="1" x14ac:dyDescent="0.25">
      <c r="A608" t="s">
        <v>186</v>
      </c>
      <c r="B608" t="s">
        <v>189</v>
      </c>
      <c r="C608" t="s">
        <v>5</v>
      </c>
      <c r="D608" t="s">
        <v>83</v>
      </c>
      <c r="E608" t="s">
        <v>75</v>
      </c>
      <c r="F608" s="171">
        <v>3104338</v>
      </c>
      <c r="G608" s="171">
        <v>11583</v>
      </c>
      <c r="H608">
        <v>268</v>
      </c>
    </row>
    <row r="609" spans="1:8" x14ac:dyDescent="0.25">
      <c r="A609" t="s">
        <v>186</v>
      </c>
      <c r="B609" t="s">
        <v>189</v>
      </c>
      <c r="C609" t="s">
        <v>5</v>
      </c>
      <c r="D609" t="s">
        <v>87</v>
      </c>
      <c r="E609" t="s">
        <v>75</v>
      </c>
      <c r="F609" s="171">
        <v>3706306</v>
      </c>
      <c r="G609" s="171">
        <v>6666</v>
      </c>
      <c r="H609">
        <v>556</v>
      </c>
    </row>
    <row r="610" spans="1:8" hidden="1" x14ac:dyDescent="0.25">
      <c r="A610" t="s">
        <v>186</v>
      </c>
      <c r="B610" t="s">
        <v>189</v>
      </c>
      <c r="C610" t="s">
        <v>5</v>
      </c>
      <c r="D610" t="s">
        <v>103</v>
      </c>
      <c r="E610" t="s">
        <v>75</v>
      </c>
      <c r="F610" s="171">
        <v>1961245</v>
      </c>
      <c r="G610" s="171">
        <v>17204</v>
      </c>
      <c r="H610">
        <v>114</v>
      </c>
    </row>
    <row r="611" spans="1:8" hidden="1" x14ac:dyDescent="0.25">
      <c r="A611" t="s">
        <v>186</v>
      </c>
      <c r="B611" t="s">
        <v>189</v>
      </c>
      <c r="C611" t="s">
        <v>5</v>
      </c>
      <c r="D611" t="s">
        <v>109</v>
      </c>
      <c r="E611" t="s">
        <v>75</v>
      </c>
      <c r="F611" s="171">
        <v>2329301</v>
      </c>
      <c r="G611" s="171">
        <v>11824</v>
      </c>
      <c r="H611">
        <v>197</v>
      </c>
    </row>
    <row r="612" spans="1:8" x14ac:dyDescent="0.25">
      <c r="A612" t="s">
        <v>186</v>
      </c>
      <c r="B612" t="s">
        <v>189</v>
      </c>
      <c r="C612" t="s">
        <v>5</v>
      </c>
      <c r="D612" t="s">
        <v>139</v>
      </c>
      <c r="E612" t="s">
        <v>75</v>
      </c>
      <c r="F612" s="171">
        <v>155527</v>
      </c>
      <c r="G612" s="171">
        <v>5555</v>
      </c>
      <c r="H612">
        <v>28</v>
      </c>
    </row>
    <row r="613" spans="1:8" hidden="1" x14ac:dyDescent="0.25">
      <c r="A613" t="s">
        <v>186</v>
      </c>
      <c r="B613" t="s">
        <v>189</v>
      </c>
      <c r="C613" t="s">
        <v>5</v>
      </c>
      <c r="D613" t="s">
        <v>152</v>
      </c>
      <c r="E613" t="s">
        <v>75</v>
      </c>
      <c r="F613" s="171">
        <v>9657815</v>
      </c>
      <c r="G613" s="171">
        <v>12179</v>
      </c>
      <c r="H613">
        <v>793</v>
      </c>
    </row>
    <row r="614" spans="1:8" hidden="1" x14ac:dyDescent="0.25">
      <c r="A614" t="s">
        <v>186</v>
      </c>
      <c r="B614" t="s">
        <v>189</v>
      </c>
      <c r="C614" t="s">
        <v>5</v>
      </c>
      <c r="D614" t="s">
        <v>154</v>
      </c>
      <c r="E614" t="s">
        <v>75</v>
      </c>
      <c r="F614" s="171">
        <v>1357034</v>
      </c>
      <c r="G614" s="171">
        <v>9834</v>
      </c>
      <c r="H614">
        <v>138</v>
      </c>
    </row>
    <row r="615" spans="1:8" hidden="1" x14ac:dyDescent="0.25">
      <c r="A615" t="s">
        <v>186</v>
      </c>
      <c r="B615" t="s">
        <v>189</v>
      </c>
      <c r="C615" t="s">
        <v>5</v>
      </c>
      <c r="D615" t="s">
        <v>157</v>
      </c>
      <c r="E615" t="s">
        <v>75</v>
      </c>
      <c r="F615" s="171">
        <v>2329713</v>
      </c>
      <c r="G615" s="171">
        <v>6852</v>
      </c>
      <c r="H615">
        <v>340</v>
      </c>
    </row>
    <row r="616" spans="1:8" hidden="1" x14ac:dyDescent="0.25">
      <c r="A616" t="s">
        <v>186</v>
      </c>
      <c r="B616" t="s">
        <v>189</v>
      </c>
      <c r="C616" t="s">
        <v>5</v>
      </c>
      <c r="D616" t="s">
        <v>170</v>
      </c>
      <c r="E616" t="s">
        <v>75</v>
      </c>
      <c r="F616" s="171">
        <v>13004512</v>
      </c>
      <c r="G616" s="171">
        <v>8087</v>
      </c>
      <c r="H616">
        <v>1608</v>
      </c>
    </row>
    <row r="617" spans="1:8" hidden="1" x14ac:dyDescent="0.25">
      <c r="A617" t="s">
        <v>186</v>
      </c>
      <c r="B617" t="s">
        <v>189</v>
      </c>
      <c r="C617" t="s">
        <v>5</v>
      </c>
      <c r="D617" t="s">
        <v>172</v>
      </c>
      <c r="E617" t="s">
        <v>75</v>
      </c>
      <c r="F617" s="171">
        <v>4734425</v>
      </c>
      <c r="G617" s="171">
        <v>13925</v>
      </c>
      <c r="H617">
        <v>340</v>
      </c>
    </row>
    <row r="618" spans="1:8" hidden="1" x14ac:dyDescent="0.25">
      <c r="A618" t="s">
        <v>186</v>
      </c>
      <c r="B618" t="s">
        <v>189</v>
      </c>
      <c r="C618" t="s">
        <v>5</v>
      </c>
      <c r="D618" t="s">
        <v>173</v>
      </c>
      <c r="E618" t="s">
        <v>75</v>
      </c>
      <c r="F618" s="171">
        <v>3394781</v>
      </c>
      <c r="G618" s="171">
        <v>8260</v>
      </c>
      <c r="H618">
        <v>411</v>
      </c>
    </row>
    <row r="619" spans="1:8" hidden="1" x14ac:dyDescent="0.25">
      <c r="A619" t="s">
        <v>71</v>
      </c>
      <c r="B619" t="s">
        <v>76</v>
      </c>
      <c r="C619" t="s">
        <v>5</v>
      </c>
      <c r="D619" t="s">
        <v>83</v>
      </c>
      <c r="E619" t="s">
        <v>75</v>
      </c>
      <c r="F619" s="171">
        <v>2957465</v>
      </c>
      <c r="G619" s="171">
        <v>12323</v>
      </c>
      <c r="H619">
        <v>240</v>
      </c>
    </row>
    <row r="620" spans="1:8" x14ac:dyDescent="0.25">
      <c r="A620" t="s">
        <v>71</v>
      </c>
      <c r="B620" t="s">
        <v>76</v>
      </c>
      <c r="C620" t="s">
        <v>5</v>
      </c>
      <c r="D620" t="s">
        <v>87</v>
      </c>
      <c r="E620" t="s">
        <v>75</v>
      </c>
      <c r="F620" s="171">
        <v>3644586</v>
      </c>
      <c r="G620" s="171">
        <v>6361</v>
      </c>
      <c r="H620">
        <v>573</v>
      </c>
    </row>
    <row r="621" spans="1:8" hidden="1" x14ac:dyDescent="0.25">
      <c r="A621" t="s">
        <v>71</v>
      </c>
      <c r="B621" t="s">
        <v>76</v>
      </c>
      <c r="C621" t="s">
        <v>5</v>
      </c>
      <c r="D621" t="s">
        <v>103</v>
      </c>
      <c r="E621" t="s">
        <v>75</v>
      </c>
      <c r="F621" s="171">
        <v>1616414</v>
      </c>
      <c r="G621" s="171">
        <v>13583</v>
      </c>
      <c r="H621">
        <v>119</v>
      </c>
    </row>
    <row r="622" spans="1:8" hidden="1" x14ac:dyDescent="0.25">
      <c r="A622" t="s">
        <v>71</v>
      </c>
      <c r="B622" t="s">
        <v>76</v>
      </c>
      <c r="C622" t="s">
        <v>5</v>
      </c>
      <c r="D622" t="s">
        <v>109</v>
      </c>
      <c r="E622" t="s">
        <v>75</v>
      </c>
      <c r="F622" s="171">
        <v>2518698</v>
      </c>
      <c r="G622" s="171">
        <v>13541</v>
      </c>
      <c r="H622">
        <v>186</v>
      </c>
    </row>
    <row r="623" spans="1:8" x14ac:dyDescent="0.25">
      <c r="A623" t="s">
        <v>71</v>
      </c>
      <c r="B623" t="s">
        <v>76</v>
      </c>
      <c r="C623" t="s">
        <v>5</v>
      </c>
      <c r="D623" t="s">
        <v>139</v>
      </c>
      <c r="E623" t="s">
        <v>75</v>
      </c>
      <c r="F623" s="171">
        <v>176859</v>
      </c>
      <c r="G623" s="171">
        <v>6099</v>
      </c>
      <c r="H623">
        <v>29</v>
      </c>
    </row>
    <row r="624" spans="1:8" hidden="1" x14ac:dyDescent="0.25">
      <c r="A624" t="s">
        <v>71</v>
      </c>
      <c r="B624" t="s">
        <v>76</v>
      </c>
      <c r="C624" t="s">
        <v>5</v>
      </c>
      <c r="D624" t="s">
        <v>152</v>
      </c>
      <c r="E624" t="s">
        <v>75</v>
      </c>
      <c r="F624" s="171">
        <v>10240746</v>
      </c>
      <c r="G624" s="171">
        <v>13046</v>
      </c>
      <c r="H624">
        <v>785</v>
      </c>
    </row>
    <row r="625" spans="1:8" hidden="1" x14ac:dyDescent="0.25">
      <c r="A625" t="s">
        <v>71</v>
      </c>
      <c r="B625" t="s">
        <v>76</v>
      </c>
      <c r="C625" t="s">
        <v>5</v>
      </c>
      <c r="D625" t="s">
        <v>154</v>
      </c>
      <c r="E625" t="s">
        <v>75</v>
      </c>
      <c r="F625" s="171">
        <v>1546697</v>
      </c>
      <c r="G625" s="171">
        <v>11208</v>
      </c>
      <c r="H625">
        <v>138</v>
      </c>
    </row>
    <row r="626" spans="1:8" hidden="1" x14ac:dyDescent="0.25">
      <c r="A626" t="s">
        <v>71</v>
      </c>
      <c r="B626" t="s">
        <v>76</v>
      </c>
      <c r="C626" t="s">
        <v>5</v>
      </c>
      <c r="D626" t="s">
        <v>157</v>
      </c>
      <c r="E626" t="s">
        <v>75</v>
      </c>
      <c r="F626" s="171">
        <v>2195794</v>
      </c>
      <c r="G626" s="171">
        <v>7106</v>
      </c>
      <c r="H626">
        <v>309</v>
      </c>
    </row>
    <row r="627" spans="1:8" hidden="1" x14ac:dyDescent="0.25">
      <c r="A627" t="s">
        <v>71</v>
      </c>
      <c r="B627" t="s">
        <v>76</v>
      </c>
      <c r="C627" t="s">
        <v>5</v>
      </c>
      <c r="D627" t="s">
        <v>170</v>
      </c>
      <c r="E627" t="s">
        <v>75</v>
      </c>
      <c r="F627" s="171">
        <v>11747872</v>
      </c>
      <c r="G627" s="171">
        <v>7468</v>
      </c>
      <c r="H627">
        <v>1573</v>
      </c>
    </row>
    <row r="628" spans="1:8" hidden="1" x14ac:dyDescent="0.25">
      <c r="A628" t="s">
        <v>71</v>
      </c>
      <c r="B628" t="s">
        <v>76</v>
      </c>
      <c r="C628" t="s">
        <v>5</v>
      </c>
      <c r="D628" t="s">
        <v>172</v>
      </c>
      <c r="E628" t="s">
        <v>75</v>
      </c>
      <c r="F628" s="171">
        <v>5056183</v>
      </c>
      <c r="G628" s="171">
        <v>15138</v>
      </c>
      <c r="H628">
        <v>334</v>
      </c>
    </row>
    <row r="629" spans="1:8" hidden="1" x14ac:dyDescent="0.25">
      <c r="A629" t="s">
        <v>71</v>
      </c>
      <c r="B629" t="s">
        <v>76</v>
      </c>
      <c r="C629" t="s">
        <v>5</v>
      </c>
      <c r="D629" t="s">
        <v>173</v>
      </c>
      <c r="E629" t="s">
        <v>75</v>
      </c>
      <c r="F629" s="171">
        <v>4173978</v>
      </c>
      <c r="G629" s="171">
        <v>9094</v>
      </c>
      <c r="H629">
        <v>459</v>
      </c>
    </row>
    <row r="630" spans="1:8" hidden="1" x14ac:dyDescent="0.25">
      <c r="A630" t="s">
        <v>71</v>
      </c>
      <c r="B630" t="s">
        <v>72</v>
      </c>
      <c r="C630" t="s">
        <v>5</v>
      </c>
      <c r="D630" t="s">
        <v>83</v>
      </c>
      <c r="E630" t="s">
        <v>75</v>
      </c>
      <c r="F630" s="171">
        <v>2520223</v>
      </c>
      <c r="G630" s="171">
        <v>11102</v>
      </c>
      <c r="H630">
        <v>227</v>
      </c>
    </row>
    <row r="631" spans="1:8" x14ac:dyDescent="0.25">
      <c r="A631" t="s">
        <v>71</v>
      </c>
      <c r="B631" t="s">
        <v>72</v>
      </c>
      <c r="C631" t="s">
        <v>5</v>
      </c>
      <c r="D631" t="s">
        <v>87</v>
      </c>
      <c r="E631" t="s">
        <v>75</v>
      </c>
      <c r="F631" s="171">
        <v>2933808</v>
      </c>
      <c r="G631" s="171">
        <v>5675</v>
      </c>
      <c r="H631">
        <v>517</v>
      </c>
    </row>
    <row r="632" spans="1:8" hidden="1" x14ac:dyDescent="0.25">
      <c r="A632" t="s">
        <v>71</v>
      </c>
      <c r="B632" t="s">
        <v>72</v>
      </c>
      <c r="C632" t="s">
        <v>5</v>
      </c>
      <c r="D632" t="s">
        <v>103</v>
      </c>
      <c r="E632" t="s">
        <v>75</v>
      </c>
      <c r="F632" s="171">
        <v>1179247</v>
      </c>
      <c r="G632" s="171">
        <v>11676</v>
      </c>
      <c r="H632">
        <v>101</v>
      </c>
    </row>
    <row r="633" spans="1:8" hidden="1" x14ac:dyDescent="0.25">
      <c r="A633" t="s">
        <v>71</v>
      </c>
      <c r="B633" t="s">
        <v>72</v>
      </c>
      <c r="C633" t="s">
        <v>5</v>
      </c>
      <c r="D633" t="s">
        <v>109</v>
      </c>
      <c r="E633" t="s">
        <v>75</v>
      </c>
      <c r="F633" s="171">
        <v>1931646</v>
      </c>
      <c r="G633" s="171">
        <v>11101</v>
      </c>
      <c r="H633">
        <v>174</v>
      </c>
    </row>
    <row r="634" spans="1:8" x14ac:dyDescent="0.25">
      <c r="A634" t="s">
        <v>71</v>
      </c>
      <c r="B634" t="s">
        <v>72</v>
      </c>
      <c r="C634" t="s">
        <v>5</v>
      </c>
      <c r="D634" t="s">
        <v>139</v>
      </c>
      <c r="E634" t="s">
        <v>75</v>
      </c>
      <c r="F634" s="171">
        <v>185064</v>
      </c>
      <c r="G634" s="171">
        <v>6382</v>
      </c>
      <c r="H634">
        <v>29</v>
      </c>
    </row>
    <row r="635" spans="1:8" hidden="1" x14ac:dyDescent="0.25">
      <c r="A635" t="s">
        <v>71</v>
      </c>
      <c r="B635" t="s">
        <v>72</v>
      </c>
      <c r="C635" t="s">
        <v>5</v>
      </c>
      <c r="D635" t="s">
        <v>152</v>
      </c>
      <c r="E635" t="s">
        <v>75</v>
      </c>
      <c r="F635" s="171">
        <v>7404323</v>
      </c>
      <c r="G635" s="171">
        <v>9912</v>
      </c>
      <c r="H635">
        <v>747</v>
      </c>
    </row>
    <row r="636" spans="1:8" hidden="1" x14ac:dyDescent="0.25">
      <c r="A636" t="s">
        <v>71</v>
      </c>
      <c r="B636" t="s">
        <v>72</v>
      </c>
      <c r="C636" t="s">
        <v>5</v>
      </c>
      <c r="D636" t="s">
        <v>154</v>
      </c>
      <c r="E636" t="s">
        <v>75</v>
      </c>
      <c r="F636" s="171">
        <v>1447626</v>
      </c>
      <c r="G636" s="171">
        <v>10803</v>
      </c>
      <c r="H636">
        <v>134</v>
      </c>
    </row>
    <row r="637" spans="1:8" hidden="1" x14ac:dyDescent="0.25">
      <c r="A637" t="s">
        <v>71</v>
      </c>
      <c r="B637" t="s">
        <v>72</v>
      </c>
      <c r="C637" t="s">
        <v>5</v>
      </c>
      <c r="D637" t="s">
        <v>157</v>
      </c>
      <c r="E637" t="s">
        <v>75</v>
      </c>
      <c r="F637" s="171">
        <v>2904240</v>
      </c>
      <c r="G637" s="171">
        <v>9429</v>
      </c>
      <c r="H637">
        <v>308</v>
      </c>
    </row>
    <row r="638" spans="1:8" hidden="1" x14ac:dyDescent="0.25">
      <c r="A638" t="s">
        <v>71</v>
      </c>
      <c r="B638" t="s">
        <v>72</v>
      </c>
      <c r="C638" t="s">
        <v>5</v>
      </c>
      <c r="D638" t="s">
        <v>170</v>
      </c>
      <c r="E638" t="s">
        <v>75</v>
      </c>
      <c r="F638" s="171">
        <v>10042535</v>
      </c>
      <c r="G638" s="171">
        <v>7052</v>
      </c>
      <c r="H638">
        <v>1424</v>
      </c>
    </row>
    <row r="639" spans="1:8" hidden="1" x14ac:dyDescent="0.25">
      <c r="A639" t="s">
        <v>71</v>
      </c>
      <c r="B639" t="s">
        <v>72</v>
      </c>
      <c r="C639" t="s">
        <v>5</v>
      </c>
      <c r="D639" t="s">
        <v>172</v>
      </c>
      <c r="E639" t="s">
        <v>75</v>
      </c>
      <c r="F639" s="171">
        <v>3847844</v>
      </c>
      <c r="G639" s="171">
        <v>12293</v>
      </c>
      <c r="H639">
        <v>313</v>
      </c>
    </row>
    <row r="640" spans="1:8" hidden="1" x14ac:dyDescent="0.25">
      <c r="A640" t="s">
        <v>71</v>
      </c>
      <c r="B640" t="s">
        <v>72</v>
      </c>
      <c r="C640" t="s">
        <v>5</v>
      </c>
      <c r="D640" t="s">
        <v>173</v>
      </c>
      <c r="E640" t="s">
        <v>75</v>
      </c>
      <c r="F640" s="171">
        <v>4541326</v>
      </c>
      <c r="G640" s="171">
        <v>10685</v>
      </c>
      <c r="H640">
        <v>425</v>
      </c>
    </row>
    <row r="641" spans="1:8" hidden="1" x14ac:dyDescent="0.25">
      <c r="A641" t="s">
        <v>71</v>
      </c>
      <c r="B641" t="s">
        <v>77</v>
      </c>
      <c r="C641" t="s">
        <v>5</v>
      </c>
      <c r="D641" t="s">
        <v>83</v>
      </c>
      <c r="E641" t="s">
        <v>75</v>
      </c>
      <c r="F641" s="171">
        <v>2684880</v>
      </c>
      <c r="G641" s="171">
        <v>11141</v>
      </c>
      <c r="H641">
        <v>241</v>
      </c>
    </row>
    <row r="642" spans="1:8" x14ac:dyDescent="0.25">
      <c r="A642" t="s">
        <v>71</v>
      </c>
      <c r="B642" t="s">
        <v>77</v>
      </c>
      <c r="C642" t="s">
        <v>5</v>
      </c>
      <c r="D642" t="s">
        <v>87</v>
      </c>
      <c r="E642" t="s">
        <v>75</v>
      </c>
      <c r="F642" s="171">
        <v>3338843</v>
      </c>
      <c r="G642" s="171">
        <v>6183</v>
      </c>
      <c r="H642">
        <v>540</v>
      </c>
    </row>
    <row r="643" spans="1:8" hidden="1" x14ac:dyDescent="0.25">
      <c r="A643" t="s">
        <v>71</v>
      </c>
      <c r="B643" t="s">
        <v>77</v>
      </c>
      <c r="C643" t="s">
        <v>5</v>
      </c>
      <c r="D643" t="s">
        <v>103</v>
      </c>
      <c r="E643" t="s">
        <v>75</v>
      </c>
      <c r="F643" s="171">
        <v>1750254</v>
      </c>
      <c r="G643" s="171">
        <v>15768</v>
      </c>
      <c r="H643">
        <v>111</v>
      </c>
    </row>
    <row r="644" spans="1:8" hidden="1" x14ac:dyDescent="0.25">
      <c r="A644" t="s">
        <v>71</v>
      </c>
      <c r="B644" t="s">
        <v>77</v>
      </c>
      <c r="C644" t="s">
        <v>5</v>
      </c>
      <c r="D644" t="s">
        <v>109</v>
      </c>
      <c r="E644" t="s">
        <v>75</v>
      </c>
      <c r="F644" s="171">
        <v>2594631</v>
      </c>
      <c r="G644" s="171">
        <v>12657</v>
      </c>
      <c r="H644">
        <v>205</v>
      </c>
    </row>
    <row r="645" spans="1:8" x14ac:dyDescent="0.25">
      <c r="A645" t="s">
        <v>71</v>
      </c>
      <c r="B645" t="s">
        <v>77</v>
      </c>
      <c r="C645" t="s">
        <v>5</v>
      </c>
      <c r="D645" t="s">
        <v>139</v>
      </c>
      <c r="E645" t="s">
        <v>75</v>
      </c>
      <c r="F645" s="171">
        <v>151118</v>
      </c>
      <c r="G645" s="171">
        <v>4875</v>
      </c>
      <c r="H645">
        <v>31</v>
      </c>
    </row>
    <row r="646" spans="1:8" hidden="1" x14ac:dyDescent="0.25">
      <c r="A646" t="s">
        <v>71</v>
      </c>
      <c r="B646" t="s">
        <v>77</v>
      </c>
      <c r="C646" t="s">
        <v>5</v>
      </c>
      <c r="D646" t="s">
        <v>152</v>
      </c>
      <c r="E646" t="s">
        <v>75</v>
      </c>
      <c r="F646" s="171">
        <v>8966136</v>
      </c>
      <c r="G646" s="171">
        <v>11705</v>
      </c>
      <c r="H646">
        <v>766</v>
      </c>
    </row>
    <row r="647" spans="1:8" hidden="1" x14ac:dyDescent="0.25">
      <c r="A647" t="s">
        <v>71</v>
      </c>
      <c r="B647" t="s">
        <v>77</v>
      </c>
      <c r="C647" t="s">
        <v>5</v>
      </c>
      <c r="D647" t="s">
        <v>154</v>
      </c>
      <c r="E647" t="s">
        <v>75</v>
      </c>
      <c r="F647" s="171">
        <v>1663502</v>
      </c>
      <c r="G647" s="171">
        <v>11798</v>
      </c>
      <c r="H647">
        <v>141</v>
      </c>
    </row>
    <row r="648" spans="1:8" hidden="1" x14ac:dyDescent="0.25">
      <c r="A648" t="s">
        <v>71</v>
      </c>
      <c r="B648" t="s">
        <v>77</v>
      </c>
      <c r="C648" t="s">
        <v>5</v>
      </c>
      <c r="D648" t="s">
        <v>157</v>
      </c>
      <c r="E648" t="s">
        <v>75</v>
      </c>
      <c r="F648" s="171">
        <v>2068510</v>
      </c>
      <c r="G648" s="171">
        <v>6609</v>
      </c>
      <c r="H648">
        <v>313</v>
      </c>
    </row>
    <row r="649" spans="1:8" hidden="1" x14ac:dyDescent="0.25">
      <c r="A649" t="s">
        <v>71</v>
      </c>
      <c r="B649" t="s">
        <v>77</v>
      </c>
      <c r="C649" t="s">
        <v>5</v>
      </c>
      <c r="D649" t="s">
        <v>170</v>
      </c>
      <c r="E649" t="s">
        <v>75</v>
      </c>
      <c r="F649" s="171">
        <v>10366840</v>
      </c>
      <c r="G649" s="171">
        <v>7567</v>
      </c>
      <c r="H649">
        <v>1370</v>
      </c>
    </row>
    <row r="650" spans="1:8" hidden="1" x14ac:dyDescent="0.25">
      <c r="A650" t="s">
        <v>71</v>
      </c>
      <c r="B650" t="s">
        <v>77</v>
      </c>
      <c r="C650" t="s">
        <v>5</v>
      </c>
      <c r="D650" t="s">
        <v>172</v>
      </c>
      <c r="E650" t="s">
        <v>75</v>
      </c>
      <c r="F650" s="171">
        <v>5365208</v>
      </c>
      <c r="G650" s="171">
        <v>15029</v>
      </c>
      <c r="H650">
        <v>357</v>
      </c>
    </row>
    <row r="651" spans="1:8" hidden="1" x14ac:dyDescent="0.25">
      <c r="A651" t="s">
        <v>71</v>
      </c>
      <c r="B651" t="s">
        <v>77</v>
      </c>
      <c r="C651" t="s">
        <v>5</v>
      </c>
      <c r="D651" t="s">
        <v>173</v>
      </c>
      <c r="E651" t="s">
        <v>75</v>
      </c>
      <c r="F651" s="171">
        <v>4231499</v>
      </c>
      <c r="G651" s="171">
        <v>9980</v>
      </c>
      <c r="H651">
        <v>424</v>
      </c>
    </row>
  </sheetData>
  <autoFilter ref="A1:H651">
    <filterColumn colId="3">
      <filters>
        <filter val="Belgium"/>
        <filter val="Luxembourg"/>
      </filters>
    </filterColumn>
  </autoFilter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50"/>
  <sheetViews>
    <sheetView workbookViewId="0">
      <selection activeCell="E61" sqref="E61"/>
    </sheetView>
  </sheetViews>
  <sheetFormatPr baseColWidth="10" defaultRowHeight="15" x14ac:dyDescent="0.25"/>
  <sheetData>
    <row r="1" spans="1:8" x14ac:dyDescent="0.25">
      <c r="A1" t="s">
        <v>62</v>
      </c>
      <c r="B1" t="s">
        <v>63</v>
      </c>
      <c r="C1" t="s">
        <v>64</v>
      </c>
      <c r="D1" t="s">
        <v>66</v>
      </c>
      <c r="E1" t="s">
        <v>67</v>
      </c>
      <c r="F1" t="s">
        <v>68</v>
      </c>
      <c r="G1" t="s">
        <v>69</v>
      </c>
      <c r="H1" t="s">
        <v>70</v>
      </c>
    </row>
    <row r="2" spans="1:8" hidden="1" x14ac:dyDescent="0.25">
      <c r="A2" t="s">
        <v>186</v>
      </c>
      <c r="B2" t="s">
        <v>190</v>
      </c>
      <c r="C2" t="s">
        <v>52</v>
      </c>
      <c r="D2" t="s">
        <v>74</v>
      </c>
      <c r="E2" t="s">
        <v>75</v>
      </c>
      <c r="F2">
        <v>30338640</v>
      </c>
      <c r="G2">
        <v>11973</v>
      </c>
      <c r="H2">
        <v>2534</v>
      </c>
    </row>
    <row r="3" spans="1:8" hidden="1" x14ac:dyDescent="0.25">
      <c r="A3" t="s">
        <v>186</v>
      </c>
      <c r="B3" t="s">
        <v>187</v>
      </c>
      <c r="C3" t="s">
        <v>52</v>
      </c>
      <c r="D3" t="s">
        <v>74</v>
      </c>
      <c r="E3" t="s">
        <v>75</v>
      </c>
      <c r="F3">
        <v>34766221</v>
      </c>
      <c r="G3">
        <v>12857</v>
      </c>
      <c r="H3">
        <v>2704</v>
      </c>
    </row>
    <row r="4" spans="1:8" hidden="1" x14ac:dyDescent="0.25">
      <c r="A4" t="s">
        <v>186</v>
      </c>
      <c r="B4" t="s">
        <v>188</v>
      </c>
      <c r="C4" t="s">
        <v>52</v>
      </c>
      <c r="D4" t="s">
        <v>74</v>
      </c>
      <c r="E4" t="s">
        <v>75</v>
      </c>
      <c r="F4">
        <v>38328371</v>
      </c>
      <c r="G4">
        <v>13064</v>
      </c>
      <c r="H4">
        <v>2934</v>
      </c>
    </row>
    <row r="5" spans="1:8" hidden="1" x14ac:dyDescent="0.25">
      <c r="A5" t="s">
        <v>186</v>
      </c>
      <c r="B5" t="s">
        <v>189</v>
      </c>
      <c r="C5" t="s">
        <v>52</v>
      </c>
      <c r="D5" t="s">
        <v>74</v>
      </c>
      <c r="E5" t="s">
        <v>75</v>
      </c>
      <c r="F5">
        <v>54010995</v>
      </c>
      <c r="G5">
        <v>16032</v>
      </c>
      <c r="H5">
        <v>3369</v>
      </c>
    </row>
    <row r="6" spans="1:8" hidden="1" x14ac:dyDescent="0.25">
      <c r="A6" t="s">
        <v>71</v>
      </c>
      <c r="B6" t="s">
        <v>76</v>
      </c>
      <c r="C6" t="s">
        <v>52</v>
      </c>
      <c r="D6" t="s">
        <v>74</v>
      </c>
      <c r="E6" t="s">
        <v>75</v>
      </c>
      <c r="F6">
        <v>39689176</v>
      </c>
      <c r="G6">
        <v>12820</v>
      </c>
      <c r="H6">
        <v>3096</v>
      </c>
    </row>
    <row r="7" spans="1:8" hidden="1" x14ac:dyDescent="0.25">
      <c r="A7" t="s">
        <v>71</v>
      </c>
      <c r="B7" t="s">
        <v>72</v>
      </c>
      <c r="C7" t="s">
        <v>52</v>
      </c>
      <c r="D7" t="s">
        <v>74</v>
      </c>
      <c r="E7" t="s">
        <v>75</v>
      </c>
      <c r="F7">
        <v>38439486</v>
      </c>
      <c r="G7">
        <v>12368</v>
      </c>
      <c r="H7">
        <v>3108</v>
      </c>
    </row>
    <row r="8" spans="1:8" hidden="1" x14ac:dyDescent="0.25">
      <c r="A8" t="s">
        <v>71</v>
      </c>
      <c r="B8" t="s">
        <v>77</v>
      </c>
      <c r="C8" t="s">
        <v>52</v>
      </c>
      <c r="D8" t="s">
        <v>74</v>
      </c>
      <c r="E8" t="s">
        <v>75</v>
      </c>
      <c r="F8">
        <v>40542847</v>
      </c>
      <c r="G8">
        <v>12027</v>
      </c>
      <c r="H8">
        <v>3371</v>
      </c>
    </row>
    <row r="9" spans="1:8" hidden="1" x14ac:dyDescent="0.25">
      <c r="A9" t="s">
        <v>186</v>
      </c>
      <c r="B9" t="s">
        <v>190</v>
      </c>
      <c r="C9" t="s">
        <v>110</v>
      </c>
      <c r="D9" t="s">
        <v>74</v>
      </c>
      <c r="E9" t="s">
        <v>75</v>
      </c>
      <c r="F9">
        <v>10796486</v>
      </c>
      <c r="G9">
        <v>8835</v>
      </c>
      <c r="H9">
        <v>1222</v>
      </c>
    </row>
    <row r="10" spans="1:8" hidden="1" x14ac:dyDescent="0.25">
      <c r="A10" t="s">
        <v>186</v>
      </c>
      <c r="B10" t="s">
        <v>187</v>
      </c>
      <c r="C10" t="s">
        <v>110</v>
      </c>
      <c r="D10" t="s">
        <v>74</v>
      </c>
      <c r="E10" t="s">
        <v>75</v>
      </c>
      <c r="F10">
        <v>11599064</v>
      </c>
      <c r="G10">
        <v>9438</v>
      </c>
      <c r="H10">
        <v>1229</v>
      </c>
    </row>
    <row r="11" spans="1:8" hidden="1" x14ac:dyDescent="0.25">
      <c r="A11" t="s">
        <v>186</v>
      </c>
      <c r="B11" t="s">
        <v>188</v>
      </c>
      <c r="C11" t="s">
        <v>110</v>
      </c>
      <c r="D11" t="s">
        <v>74</v>
      </c>
      <c r="E11" t="s">
        <v>75</v>
      </c>
      <c r="F11">
        <v>10562240</v>
      </c>
      <c r="G11">
        <v>8573</v>
      </c>
      <c r="H11">
        <v>1232</v>
      </c>
    </row>
    <row r="12" spans="1:8" hidden="1" x14ac:dyDescent="0.25">
      <c r="A12" t="s">
        <v>186</v>
      </c>
      <c r="B12" t="s">
        <v>189</v>
      </c>
      <c r="C12" t="s">
        <v>110</v>
      </c>
      <c r="D12" t="s">
        <v>74</v>
      </c>
      <c r="E12" t="s">
        <v>75</v>
      </c>
      <c r="F12">
        <v>12282949</v>
      </c>
      <c r="G12">
        <v>8940</v>
      </c>
      <c r="H12">
        <v>1374</v>
      </c>
    </row>
    <row r="13" spans="1:8" hidden="1" x14ac:dyDescent="0.25">
      <c r="A13" t="s">
        <v>71</v>
      </c>
      <c r="B13" t="s">
        <v>76</v>
      </c>
      <c r="C13" t="s">
        <v>110</v>
      </c>
      <c r="D13" t="s">
        <v>74</v>
      </c>
      <c r="E13" t="s">
        <v>75</v>
      </c>
      <c r="F13">
        <v>12189448</v>
      </c>
      <c r="G13">
        <v>9384</v>
      </c>
      <c r="H13">
        <v>1299</v>
      </c>
    </row>
    <row r="14" spans="1:8" hidden="1" x14ac:dyDescent="0.25">
      <c r="A14" t="s">
        <v>71</v>
      </c>
      <c r="B14" t="s">
        <v>72</v>
      </c>
      <c r="C14" t="s">
        <v>110</v>
      </c>
      <c r="D14" t="s">
        <v>74</v>
      </c>
      <c r="E14" t="s">
        <v>75</v>
      </c>
      <c r="F14">
        <v>12199637</v>
      </c>
      <c r="G14">
        <v>9659</v>
      </c>
      <c r="H14">
        <v>1263</v>
      </c>
    </row>
    <row r="15" spans="1:8" hidden="1" x14ac:dyDescent="0.25">
      <c r="A15" t="s">
        <v>71</v>
      </c>
      <c r="B15" t="s">
        <v>77</v>
      </c>
      <c r="C15" t="s">
        <v>110</v>
      </c>
      <c r="D15" t="s">
        <v>74</v>
      </c>
      <c r="E15" t="s">
        <v>75</v>
      </c>
      <c r="F15">
        <v>11932754</v>
      </c>
      <c r="G15">
        <v>9478</v>
      </c>
      <c r="H15">
        <v>1259</v>
      </c>
    </row>
    <row r="16" spans="1:8" hidden="1" x14ac:dyDescent="0.25">
      <c r="A16" t="s">
        <v>186</v>
      </c>
      <c r="B16" t="s">
        <v>190</v>
      </c>
      <c r="C16" t="s">
        <v>116</v>
      </c>
      <c r="D16" t="s">
        <v>74</v>
      </c>
      <c r="E16" t="s">
        <v>75</v>
      </c>
      <c r="F16">
        <v>10296192</v>
      </c>
      <c r="G16">
        <v>11556</v>
      </c>
      <c r="H16">
        <v>891</v>
      </c>
    </row>
    <row r="17" spans="1:8" hidden="1" x14ac:dyDescent="0.25">
      <c r="A17" t="s">
        <v>186</v>
      </c>
      <c r="B17" t="s">
        <v>187</v>
      </c>
      <c r="C17" t="s">
        <v>116</v>
      </c>
      <c r="D17" t="s">
        <v>74</v>
      </c>
      <c r="E17" t="s">
        <v>75</v>
      </c>
      <c r="F17">
        <v>12369336</v>
      </c>
      <c r="G17">
        <v>12752</v>
      </c>
      <c r="H17">
        <v>970</v>
      </c>
    </row>
    <row r="18" spans="1:8" hidden="1" x14ac:dyDescent="0.25">
      <c r="A18" t="s">
        <v>186</v>
      </c>
      <c r="B18" t="s">
        <v>188</v>
      </c>
      <c r="C18" t="s">
        <v>116</v>
      </c>
      <c r="D18" t="s">
        <v>74</v>
      </c>
      <c r="E18" t="s">
        <v>75</v>
      </c>
      <c r="F18">
        <v>11977148</v>
      </c>
      <c r="G18">
        <v>12110</v>
      </c>
      <c r="H18">
        <v>989</v>
      </c>
    </row>
    <row r="19" spans="1:8" hidden="1" x14ac:dyDescent="0.25">
      <c r="A19" t="s">
        <v>186</v>
      </c>
      <c r="B19" t="s">
        <v>189</v>
      </c>
      <c r="C19" t="s">
        <v>116</v>
      </c>
      <c r="D19" t="s">
        <v>74</v>
      </c>
      <c r="E19" t="s">
        <v>75</v>
      </c>
      <c r="F19">
        <v>13426074</v>
      </c>
      <c r="G19">
        <v>12897</v>
      </c>
      <c r="H19">
        <v>1041</v>
      </c>
    </row>
    <row r="20" spans="1:8" hidden="1" x14ac:dyDescent="0.25">
      <c r="A20" t="s">
        <v>71</v>
      </c>
      <c r="B20" t="s">
        <v>76</v>
      </c>
      <c r="C20" t="s">
        <v>116</v>
      </c>
      <c r="D20" t="s">
        <v>74</v>
      </c>
      <c r="E20" t="s">
        <v>75</v>
      </c>
      <c r="F20">
        <v>12713062</v>
      </c>
      <c r="G20">
        <v>12713</v>
      </c>
      <c r="H20">
        <v>1000</v>
      </c>
    </row>
    <row r="21" spans="1:8" hidden="1" x14ac:dyDescent="0.25">
      <c r="A21" t="s">
        <v>71</v>
      </c>
      <c r="B21" t="s">
        <v>72</v>
      </c>
      <c r="C21" t="s">
        <v>116</v>
      </c>
      <c r="D21" t="s">
        <v>74</v>
      </c>
      <c r="E21" t="s">
        <v>75</v>
      </c>
      <c r="F21">
        <v>13577116</v>
      </c>
      <c r="G21">
        <v>14505</v>
      </c>
      <c r="H21">
        <v>936</v>
      </c>
    </row>
    <row r="22" spans="1:8" hidden="1" x14ac:dyDescent="0.25">
      <c r="A22" t="s">
        <v>71</v>
      </c>
      <c r="B22" t="s">
        <v>77</v>
      </c>
      <c r="C22" t="s">
        <v>116</v>
      </c>
      <c r="D22" t="s">
        <v>74</v>
      </c>
      <c r="E22" t="s">
        <v>75</v>
      </c>
      <c r="F22">
        <v>17067518</v>
      </c>
      <c r="G22">
        <v>16427</v>
      </c>
      <c r="H22">
        <v>1039</v>
      </c>
    </row>
    <row r="23" spans="1:8" hidden="1" x14ac:dyDescent="0.25">
      <c r="A23" t="s">
        <v>186</v>
      </c>
      <c r="B23" t="s">
        <v>190</v>
      </c>
      <c r="C23" t="s">
        <v>55</v>
      </c>
      <c r="D23" t="s">
        <v>74</v>
      </c>
      <c r="E23" t="s">
        <v>75</v>
      </c>
      <c r="F23">
        <v>12806004</v>
      </c>
      <c r="G23">
        <v>9479</v>
      </c>
      <c r="H23">
        <v>1351</v>
      </c>
    </row>
    <row r="24" spans="1:8" hidden="1" x14ac:dyDescent="0.25">
      <c r="A24" t="s">
        <v>186</v>
      </c>
      <c r="B24" t="s">
        <v>187</v>
      </c>
      <c r="C24" t="s">
        <v>55</v>
      </c>
      <c r="D24" t="s">
        <v>74</v>
      </c>
      <c r="E24" t="s">
        <v>75</v>
      </c>
      <c r="F24">
        <v>12400123</v>
      </c>
      <c r="G24">
        <v>8807</v>
      </c>
      <c r="H24">
        <v>1408</v>
      </c>
    </row>
    <row r="25" spans="1:8" hidden="1" x14ac:dyDescent="0.25">
      <c r="A25" t="s">
        <v>186</v>
      </c>
      <c r="B25" t="s">
        <v>188</v>
      </c>
      <c r="C25" t="s">
        <v>55</v>
      </c>
      <c r="D25" t="s">
        <v>74</v>
      </c>
      <c r="E25" t="s">
        <v>75</v>
      </c>
      <c r="F25">
        <v>10766429</v>
      </c>
      <c r="G25">
        <v>8256</v>
      </c>
      <c r="H25">
        <v>1304</v>
      </c>
    </row>
    <row r="26" spans="1:8" hidden="1" x14ac:dyDescent="0.25">
      <c r="A26" t="s">
        <v>186</v>
      </c>
      <c r="B26" t="s">
        <v>189</v>
      </c>
      <c r="C26" t="s">
        <v>55</v>
      </c>
      <c r="D26" t="s">
        <v>74</v>
      </c>
      <c r="E26" t="s">
        <v>75</v>
      </c>
      <c r="F26">
        <v>15454709</v>
      </c>
      <c r="G26">
        <v>9528</v>
      </c>
      <c r="H26">
        <v>1622</v>
      </c>
    </row>
    <row r="27" spans="1:8" hidden="1" x14ac:dyDescent="0.25">
      <c r="A27" t="s">
        <v>71</v>
      </c>
      <c r="B27" t="s">
        <v>76</v>
      </c>
      <c r="C27" t="s">
        <v>55</v>
      </c>
      <c r="D27" t="s">
        <v>74</v>
      </c>
      <c r="E27" t="s">
        <v>75</v>
      </c>
      <c r="F27">
        <v>15166436</v>
      </c>
      <c r="G27">
        <v>9515</v>
      </c>
      <c r="H27">
        <v>1594</v>
      </c>
    </row>
    <row r="28" spans="1:8" hidden="1" x14ac:dyDescent="0.25">
      <c r="A28" t="s">
        <v>71</v>
      </c>
      <c r="B28" t="s">
        <v>72</v>
      </c>
      <c r="C28" t="s">
        <v>55</v>
      </c>
      <c r="D28" t="s">
        <v>74</v>
      </c>
      <c r="E28" t="s">
        <v>75</v>
      </c>
      <c r="F28">
        <v>15947101</v>
      </c>
      <c r="G28">
        <v>10710</v>
      </c>
      <c r="H28">
        <v>1489</v>
      </c>
    </row>
    <row r="29" spans="1:8" hidden="1" x14ac:dyDescent="0.25">
      <c r="A29" t="s">
        <v>71</v>
      </c>
      <c r="B29" t="s">
        <v>77</v>
      </c>
      <c r="C29" t="s">
        <v>55</v>
      </c>
      <c r="D29" t="s">
        <v>74</v>
      </c>
      <c r="E29" t="s">
        <v>75</v>
      </c>
      <c r="F29">
        <v>13226494</v>
      </c>
      <c r="G29">
        <v>8771</v>
      </c>
      <c r="H29">
        <v>1508</v>
      </c>
    </row>
    <row r="30" spans="1:8" x14ac:dyDescent="0.25">
      <c r="A30" t="s">
        <v>186</v>
      </c>
      <c r="B30" t="s">
        <v>190</v>
      </c>
      <c r="C30" t="s">
        <v>46</v>
      </c>
      <c r="D30" t="s">
        <v>74</v>
      </c>
      <c r="E30" t="s">
        <v>75</v>
      </c>
      <c r="F30">
        <v>73964076</v>
      </c>
      <c r="G30">
        <v>37469</v>
      </c>
      <c r="H30">
        <v>1974</v>
      </c>
    </row>
    <row r="31" spans="1:8" x14ac:dyDescent="0.25">
      <c r="A31" t="s">
        <v>186</v>
      </c>
      <c r="B31" t="s">
        <v>187</v>
      </c>
      <c r="C31" t="s">
        <v>46</v>
      </c>
      <c r="D31" t="s">
        <v>74</v>
      </c>
      <c r="E31" t="s">
        <v>75</v>
      </c>
      <c r="F31">
        <v>64525827</v>
      </c>
      <c r="G31">
        <v>34524</v>
      </c>
      <c r="H31">
        <v>1869</v>
      </c>
    </row>
    <row r="32" spans="1:8" x14ac:dyDescent="0.25">
      <c r="A32" t="s">
        <v>186</v>
      </c>
      <c r="B32" t="s">
        <v>188</v>
      </c>
      <c r="C32" t="s">
        <v>46</v>
      </c>
      <c r="D32" t="s">
        <v>74</v>
      </c>
      <c r="E32" t="s">
        <v>75</v>
      </c>
      <c r="F32">
        <v>60326011</v>
      </c>
      <c r="G32">
        <v>33721</v>
      </c>
      <c r="H32">
        <v>1789</v>
      </c>
    </row>
    <row r="33" spans="1:8" x14ac:dyDescent="0.25">
      <c r="A33" t="s">
        <v>186</v>
      </c>
      <c r="B33" t="s">
        <v>189</v>
      </c>
      <c r="C33" t="s">
        <v>46</v>
      </c>
      <c r="D33" t="s">
        <v>74</v>
      </c>
      <c r="E33" t="s">
        <v>75</v>
      </c>
      <c r="F33">
        <v>69370725</v>
      </c>
      <c r="G33">
        <v>36206</v>
      </c>
      <c r="H33">
        <v>1916</v>
      </c>
    </row>
    <row r="34" spans="1:8" x14ac:dyDescent="0.25">
      <c r="A34" t="s">
        <v>71</v>
      </c>
      <c r="B34" t="s">
        <v>76</v>
      </c>
      <c r="C34" t="s">
        <v>46</v>
      </c>
      <c r="D34" t="s">
        <v>74</v>
      </c>
      <c r="E34" t="s">
        <v>75</v>
      </c>
      <c r="F34">
        <v>76801171</v>
      </c>
      <c r="G34">
        <v>37666</v>
      </c>
      <c r="H34">
        <v>2039</v>
      </c>
    </row>
    <row r="35" spans="1:8" x14ac:dyDescent="0.25">
      <c r="A35" t="s">
        <v>71</v>
      </c>
      <c r="B35" t="s">
        <v>72</v>
      </c>
      <c r="C35" t="s">
        <v>46</v>
      </c>
      <c r="D35" t="s">
        <v>74</v>
      </c>
      <c r="E35" t="s">
        <v>75</v>
      </c>
      <c r="F35">
        <v>71267396</v>
      </c>
      <c r="G35">
        <v>36869</v>
      </c>
      <c r="H35">
        <v>1933</v>
      </c>
    </row>
    <row r="36" spans="1:8" x14ac:dyDescent="0.25">
      <c r="A36" t="s">
        <v>71</v>
      </c>
      <c r="B36" t="s">
        <v>77</v>
      </c>
      <c r="C36" t="s">
        <v>46</v>
      </c>
      <c r="D36" t="s">
        <v>74</v>
      </c>
      <c r="E36" t="s">
        <v>75</v>
      </c>
      <c r="F36">
        <v>72610929</v>
      </c>
      <c r="G36">
        <v>38913</v>
      </c>
      <c r="H36">
        <v>1866</v>
      </c>
    </row>
    <row r="37" spans="1:8" hidden="1" x14ac:dyDescent="0.25">
      <c r="A37" t="s">
        <v>186</v>
      </c>
      <c r="B37" t="s">
        <v>190</v>
      </c>
      <c r="C37" t="s">
        <v>123</v>
      </c>
      <c r="D37" t="s">
        <v>74</v>
      </c>
      <c r="E37" t="s">
        <v>75</v>
      </c>
      <c r="F37">
        <v>16528100</v>
      </c>
      <c r="G37">
        <v>14115</v>
      </c>
      <c r="H37">
        <v>1171</v>
      </c>
    </row>
    <row r="38" spans="1:8" hidden="1" x14ac:dyDescent="0.25">
      <c r="A38" t="s">
        <v>186</v>
      </c>
      <c r="B38" t="s">
        <v>187</v>
      </c>
      <c r="C38" t="s">
        <v>123</v>
      </c>
      <c r="D38" t="s">
        <v>74</v>
      </c>
      <c r="E38" t="s">
        <v>75</v>
      </c>
      <c r="F38">
        <v>16617227</v>
      </c>
      <c r="G38">
        <v>13643</v>
      </c>
      <c r="H38">
        <v>1218</v>
      </c>
    </row>
    <row r="39" spans="1:8" hidden="1" x14ac:dyDescent="0.25">
      <c r="A39" t="s">
        <v>186</v>
      </c>
      <c r="B39" t="s">
        <v>188</v>
      </c>
      <c r="C39" t="s">
        <v>123</v>
      </c>
      <c r="D39" t="s">
        <v>74</v>
      </c>
      <c r="E39" t="s">
        <v>75</v>
      </c>
      <c r="F39">
        <v>16914258</v>
      </c>
      <c r="G39">
        <v>13707</v>
      </c>
      <c r="H39">
        <v>1234</v>
      </c>
    </row>
    <row r="40" spans="1:8" hidden="1" x14ac:dyDescent="0.25">
      <c r="A40" t="s">
        <v>186</v>
      </c>
      <c r="B40" t="s">
        <v>189</v>
      </c>
      <c r="C40" t="s">
        <v>123</v>
      </c>
      <c r="D40" t="s">
        <v>74</v>
      </c>
      <c r="E40" t="s">
        <v>75</v>
      </c>
      <c r="F40">
        <v>15579779</v>
      </c>
      <c r="G40">
        <v>13005</v>
      </c>
      <c r="H40">
        <v>1198</v>
      </c>
    </row>
    <row r="41" spans="1:8" hidden="1" x14ac:dyDescent="0.25">
      <c r="A41" t="s">
        <v>71</v>
      </c>
      <c r="B41" t="s">
        <v>76</v>
      </c>
      <c r="C41" t="s">
        <v>123</v>
      </c>
      <c r="D41" t="s">
        <v>74</v>
      </c>
      <c r="E41" t="s">
        <v>75</v>
      </c>
      <c r="F41">
        <v>20306452</v>
      </c>
      <c r="G41">
        <v>15608</v>
      </c>
      <c r="H41">
        <v>1301</v>
      </c>
    </row>
    <row r="42" spans="1:8" hidden="1" x14ac:dyDescent="0.25">
      <c r="A42" t="s">
        <v>71</v>
      </c>
      <c r="B42" t="s">
        <v>72</v>
      </c>
      <c r="C42" t="s">
        <v>123</v>
      </c>
      <c r="D42" t="s">
        <v>74</v>
      </c>
      <c r="E42" t="s">
        <v>75</v>
      </c>
      <c r="F42">
        <v>21518131</v>
      </c>
      <c r="G42">
        <v>16851</v>
      </c>
      <c r="H42">
        <v>1277</v>
      </c>
    </row>
    <row r="43" spans="1:8" hidden="1" x14ac:dyDescent="0.25">
      <c r="A43" t="s">
        <v>71</v>
      </c>
      <c r="B43" t="s">
        <v>77</v>
      </c>
      <c r="C43" t="s">
        <v>123</v>
      </c>
      <c r="D43" t="s">
        <v>74</v>
      </c>
      <c r="E43" t="s">
        <v>75</v>
      </c>
      <c r="F43">
        <v>21796769</v>
      </c>
      <c r="G43">
        <v>16949</v>
      </c>
      <c r="H43">
        <v>1286</v>
      </c>
    </row>
    <row r="44" spans="1:8" hidden="1" x14ac:dyDescent="0.25">
      <c r="A44" t="s">
        <v>186</v>
      </c>
      <c r="B44" t="s">
        <v>190</v>
      </c>
      <c r="C44" t="s">
        <v>5</v>
      </c>
      <c r="D44" t="s">
        <v>74</v>
      </c>
      <c r="E44" t="s">
        <v>75</v>
      </c>
      <c r="F44">
        <v>32171543</v>
      </c>
      <c r="G44">
        <v>12036</v>
      </c>
      <c r="H44">
        <v>2673</v>
      </c>
    </row>
    <row r="45" spans="1:8" hidden="1" x14ac:dyDescent="0.25">
      <c r="A45" t="s">
        <v>186</v>
      </c>
      <c r="B45" t="s">
        <v>187</v>
      </c>
      <c r="C45" t="s">
        <v>5</v>
      </c>
      <c r="D45" t="s">
        <v>74</v>
      </c>
      <c r="E45" t="s">
        <v>75</v>
      </c>
      <c r="F45">
        <v>29167008</v>
      </c>
      <c r="G45">
        <v>10664</v>
      </c>
      <c r="H45">
        <v>2735</v>
      </c>
    </row>
    <row r="46" spans="1:8" hidden="1" x14ac:dyDescent="0.25">
      <c r="A46" t="s">
        <v>186</v>
      </c>
      <c r="B46" t="s">
        <v>188</v>
      </c>
      <c r="C46" t="s">
        <v>5</v>
      </c>
      <c r="D46" t="s">
        <v>74</v>
      </c>
      <c r="E46" t="s">
        <v>75</v>
      </c>
      <c r="F46">
        <v>30929409</v>
      </c>
      <c r="G46">
        <v>10781</v>
      </c>
      <c r="H46">
        <v>2869</v>
      </c>
    </row>
    <row r="47" spans="1:8" hidden="1" x14ac:dyDescent="0.25">
      <c r="A47" t="s">
        <v>186</v>
      </c>
      <c r="B47" t="s">
        <v>189</v>
      </c>
      <c r="C47" t="s">
        <v>5</v>
      </c>
      <c r="D47" t="s">
        <v>74</v>
      </c>
      <c r="E47" t="s">
        <v>75</v>
      </c>
      <c r="F47">
        <v>34000253</v>
      </c>
      <c r="G47">
        <v>11757</v>
      </c>
      <c r="H47">
        <v>2892</v>
      </c>
    </row>
    <row r="48" spans="1:8" hidden="1" x14ac:dyDescent="0.25">
      <c r="A48" t="s">
        <v>71</v>
      </c>
      <c r="B48" t="s">
        <v>76</v>
      </c>
      <c r="C48" t="s">
        <v>5</v>
      </c>
      <c r="D48" t="s">
        <v>74</v>
      </c>
      <c r="E48" t="s">
        <v>75</v>
      </c>
      <c r="F48">
        <v>32114648</v>
      </c>
      <c r="G48">
        <v>11648</v>
      </c>
      <c r="H48">
        <v>2757</v>
      </c>
    </row>
    <row r="49" spans="1:8" hidden="1" x14ac:dyDescent="0.25">
      <c r="A49" t="s">
        <v>71</v>
      </c>
      <c r="B49" t="s">
        <v>72</v>
      </c>
      <c r="C49" t="s">
        <v>5</v>
      </c>
      <c r="D49" t="s">
        <v>74</v>
      </c>
      <c r="E49" t="s">
        <v>75</v>
      </c>
      <c r="F49">
        <v>29606764</v>
      </c>
      <c r="G49">
        <v>11414</v>
      </c>
      <c r="H49">
        <v>2594</v>
      </c>
    </row>
    <row r="50" spans="1:8" hidden="1" x14ac:dyDescent="0.25">
      <c r="A50" t="s">
        <v>71</v>
      </c>
      <c r="B50" t="s">
        <v>77</v>
      </c>
      <c r="C50" t="s">
        <v>5</v>
      </c>
      <c r="D50" t="s">
        <v>74</v>
      </c>
      <c r="E50" t="s">
        <v>75</v>
      </c>
      <c r="F50">
        <v>34762178</v>
      </c>
      <c r="G50">
        <v>12301</v>
      </c>
      <c r="H50">
        <v>2826</v>
      </c>
    </row>
  </sheetData>
  <autoFilter ref="A1:H50">
    <filterColumn colId="2">
      <filters>
        <filter val="MERAT"/>
      </filters>
    </filterColumn>
  </autoFilter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workbookViewId="0">
      <selection activeCell="J29" sqref="J29"/>
    </sheetView>
  </sheetViews>
  <sheetFormatPr baseColWidth="10" defaultRowHeight="15" x14ac:dyDescent="0.25"/>
  <cols>
    <col min="6" max="6" width="11.42578125" style="171"/>
    <col min="7" max="7" width="21.7109375" style="171" bestFit="1" customWidth="1"/>
  </cols>
  <sheetData>
    <row r="1" spans="1:8" x14ac:dyDescent="0.25">
      <c r="A1" t="s">
        <v>62</v>
      </c>
      <c r="B1" t="s">
        <v>63</v>
      </c>
      <c r="C1" t="s">
        <v>65</v>
      </c>
      <c r="D1" t="s">
        <v>66</v>
      </c>
      <c r="E1" t="s">
        <v>67</v>
      </c>
      <c r="F1" s="171" t="s">
        <v>68</v>
      </c>
      <c r="G1" s="171" t="s">
        <v>69</v>
      </c>
      <c r="H1" t="s">
        <v>70</v>
      </c>
    </row>
    <row r="2" spans="1:8" x14ac:dyDescent="0.25">
      <c r="A2" t="s">
        <v>186</v>
      </c>
      <c r="B2" t="s">
        <v>190</v>
      </c>
      <c r="C2" t="s">
        <v>111</v>
      </c>
      <c r="D2" t="s">
        <v>74</v>
      </c>
      <c r="E2" t="s">
        <v>75</v>
      </c>
      <c r="F2" s="171">
        <v>10796486</v>
      </c>
      <c r="G2" s="171">
        <v>8835</v>
      </c>
      <c r="H2">
        <v>1222</v>
      </c>
    </row>
    <row r="3" spans="1:8" x14ac:dyDescent="0.25">
      <c r="A3" t="s">
        <v>186</v>
      </c>
      <c r="B3" t="s">
        <v>187</v>
      </c>
      <c r="C3" t="s">
        <v>111</v>
      </c>
      <c r="D3" t="s">
        <v>74</v>
      </c>
      <c r="E3" t="s">
        <v>75</v>
      </c>
      <c r="F3" s="171">
        <v>11599064</v>
      </c>
      <c r="G3" s="171">
        <v>9438</v>
      </c>
      <c r="H3">
        <v>1229</v>
      </c>
    </row>
    <row r="4" spans="1:8" x14ac:dyDescent="0.25">
      <c r="A4" t="s">
        <v>186</v>
      </c>
      <c r="B4" t="s">
        <v>188</v>
      </c>
      <c r="C4" t="s">
        <v>111</v>
      </c>
      <c r="D4" t="s">
        <v>74</v>
      </c>
      <c r="E4" t="s">
        <v>75</v>
      </c>
      <c r="F4" s="171">
        <v>10562240</v>
      </c>
      <c r="G4" s="171">
        <v>8573</v>
      </c>
      <c r="H4">
        <v>1232</v>
      </c>
    </row>
    <row r="5" spans="1:8" x14ac:dyDescent="0.25">
      <c r="A5" t="s">
        <v>186</v>
      </c>
      <c r="B5" t="s">
        <v>189</v>
      </c>
      <c r="C5" t="s">
        <v>111</v>
      </c>
      <c r="D5" t="s">
        <v>74</v>
      </c>
      <c r="E5" t="s">
        <v>75</v>
      </c>
      <c r="F5" s="171">
        <v>12282949</v>
      </c>
      <c r="G5" s="171">
        <v>8940</v>
      </c>
      <c r="H5">
        <v>1374</v>
      </c>
    </row>
    <row r="6" spans="1:8" x14ac:dyDescent="0.25">
      <c r="A6" t="s">
        <v>71</v>
      </c>
      <c r="B6" t="s">
        <v>76</v>
      </c>
      <c r="C6" t="s">
        <v>111</v>
      </c>
      <c r="D6" t="s">
        <v>74</v>
      </c>
      <c r="E6" t="s">
        <v>75</v>
      </c>
      <c r="F6" s="171">
        <v>12189448</v>
      </c>
      <c r="G6" s="171">
        <v>9384</v>
      </c>
      <c r="H6">
        <v>1299</v>
      </c>
    </row>
    <row r="7" spans="1:8" x14ac:dyDescent="0.25">
      <c r="A7" t="s">
        <v>71</v>
      </c>
      <c r="B7" t="s">
        <v>72</v>
      </c>
      <c r="C7" t="s">
        <v>111</v>
      </c>
      <c r="D7" t="s">
        <v>74</v>
      </c>
      <c r="E7" t="s">
        <v>75</v>
      </c>
      <c r="F7" s="171">
        <v>12199637</v>
      </c>
      <c r="G7" s="171">
        <v>9659</v>
      </c>
      <c r="H7">
        <v>1263</v>
      </c>
    </row>
    <row r="8" spans="1:8" x14ac:dyDescent="0.25">
      <c r="A8" t="s">
        <v>71</v>
      </c>
      <c r="B8" t="s">
        <v>77</v>
      </c>
      <c r="C8" t="s">
        <v>111</v>
      </c>
      <c r="D8" t="s">
        <v>74</v>
      </c>
      <c r="E8" t="s">
        <v>75</v>
      </c>
      <c r="F8" s="171">
        <v>11932754</v>
      </c>
      <c r="G8" s="171">
        <v>9478</v>
      </c>
      <c r="H8">
        <v>1259</v>
      </c>
    </row>
    <row r="9" spans="1:8" x14ac:dyDescent="0.25">
      <c r="A9" t="s">
        <v>186</v>
      </c>
      <c r="B9" t="s">
        <v>190</v>
      </c>
      <c r="C9" t="s">
        <v>117</v>
      </c>
      <c r="D9" t="s">
        <v>74</v>
      </c>
      <c r="E9" t="s">
        <v>75</v>
      </c>
      <c r="F9" s="171">
        <v>10296192</v>
      </c>
      <c r="G9" s="171">
        <v>11556</v>
      </c>
      <c r="H9">
        <v>891</v>
      </c>
    </row>
    <row r="10" spans="1:8" x14ac:dyDescent="0.25">
      <c r="A10" t="s">
        <v>186</v>
      </c>
      <c r="B10" t="s">
        <v>187</v>
      </c>
      <c r="C10" t="s">
        <v>117</v>
      </c>
      <c r="D10" t="s">
        <v>74</v>
      </c>
      <c r="E10" t="s">
        <v>75</v>
      </c>
      <c r="F10" s="171">
        <v>12369336</v>
      </c>
      <c r="G10" s="171">
        <v>12752</v>
      </c>
      <c r="H10">
        <v>970</v>
      </c>
    </row>
    <row r="11" spans="1:8" x14ac:dyDescent="0.25">
      <c r="A11" t="s">
        <v>186</v>
      </c>
      <c r="B11" t="s">
        <v>188</v>
      </c>
      <c r="C11" t="s">
        <v>117</v>
      </c>
      <c r="D11" t="s">
        <v>74</v>
      </c>
      <c r="E11" t="s">
        <v>75</v>
      </c>
      <c r="F11" s="171">
        <v>11977148</v>
      </c>
      <c r="G11" s="171">
        <v>12110</v>
      </c>
      <c r="H11">
        <v>989</v>
      </c>
    </row>
    <row r="12" spans="1:8" x14ac:dyDescent="0.25">
      <c r="A12" t="s">
        <v>186</v>
      </c>
      <c r="B12" t="s">
        <v>189</v>
      </c>
      <c r="C12" t="s">
        <v>117</v>
      </c>
      <c r="D12" t="s">
        <v>74</v>
      </c>
      <c r="E12" t="s">
        <v>75</v>
      </c>
      <c r="F12" s="171">
        <v>13426074</v>
      </c>
      <c r="G12" s="171">
        <v>12897</v>
      </c>
      <c r="H12">
        <v>1041</v>
      </c>
    </row>
    <row r="13" spans="1:8" x14ac:dyDescent="0.25">
      <c r="A13" t="s">
        <v>71</v>
      </c>
      <c r="B13" t="s">
        <v>76</v>
      </c>
      <c r="C13" t="s">
        <v>117</v>
      </c>
      <c r="D13" t="s">
        <v>74</v>
      </c>
      <c r="E13" t="s">
        <v>75</v>
      </c>
      <c r="F13" s="171">
        <v>12713062</v>
      </c>
      <c r="G13" s="171">
        <v>12713</v>
      </c>
      <c r="H13">
        <v>1000</v>
      </c>
    </row>
    <row r="14" spans="1:8" x14ac:dyDescent="0.25">
      <c r="A14" t="s">
        <v>71</v>
      </c>
      <c r="B14" t="s">
        <v>72</v>
      </c>
      <c r="C14" t="s">
        <v>117</v>
      </c>
      <c r="D14" t="s">
        <v>74</v>
      </c>
      <c r="E14" t="s">
        <v>75</v>
      </c>
      <c r="F14" s="171">
        <v>13577116</v>
      </c>
      <c r="G14" s="171">
        <v>14505</v>
      </c>
      <c r="H14">
        <v>936</v>
      </c>
    </row>
    <row r="15" spans="1:8" x14ac:dyDescent="0.25">
      <c r="A15" t="s">
        <v>71</v>
      </c>
      <c r="B15" t="s">
        <v>77</v>
      </c>
      <c r="C15" t="s">
        <v>117</v>
      </c>
      <c r="D15" t="s">
        <v>74</v>
      </c>
      <c r="E15" t="s">
        <v>75</v>
      </c>
      <c r="F15" s="171">
        <v>17067518</v>
      </c>
      <c r="G15" s="171">
        <v>16427</v>
      </c>
      <c r="H15">
        <v>1039</v>
      </c>
    </row>
    <row r="16" spans="1:8" x14ac:dyDescent="0.25">
      <c r="A16" t="s">
        <v>186</v>
      </c>
      <c r="B16" t="s">
        <v>190</v>
      </c>
      <c r="C16" t="s">
        <v>124</v>
      </c>
      <c r="D16" t="s">
        <v>74</v>
      </c>
      <c r="E16" t="s">
        <v>75</v>
      </c>
      <c r="F16" s="171">
        <v>1991461</v>
      </c>
      <c r="G16" s="171">
        <v>14862</v>
      </c>
      <c r="H16">
        <v>134</v>
      </c>
    </row>
    <row r="17" spans="1:8" x14ac:dyDescent="0.25">
      <c r="A17" t="s">
        <v>186</v>
      </c>
      <c r="B17" t="s">
        <v>187</v>
      </c>
      <c r="C17" t="s">
        <v>124</v>
      </c>
      <c r="D17" t="s">
        <v>74</v>
      </c>
      <c r="E17" t="s">
        <v>75</v>
      </c>
      <c r="F17" s="171">
        <v>2030907</v>
      </c>
      <c r="G17" s="171">
        <v>13361</v>
      </c>
      <c r="H17">
        <v>152</v>
      </c>
    </row>
    <row r="18" spans="1:8" x14ac:dyDescent="0.25">
      <c r="A18" t="s">
        <v>186</v>
      </c>
      <c r="B18" t="s">
        <v>188</v>
      </c>
      <c r="C18" t="s">
        <v>124</v>
      </c>
      <c r="D18" t="s">
        <v>74</v>
      </c>
      <c r="E18" t="s">
        <v>75</v>
      </c>
      <c r="F18" s="171">
        <v>2238243</v>
      </c>
      <c r="G18" s="171">
        <v>15436</v>
      </c>
      <c r="H18">
        <v>145</v>
      </c>
    </row>
    <row r="19" spans="1:8" x14ac:dyDescent="0.25">
      <c r="A19" t="s">
        <v>186</v>
      </c>
      <c r="B19" t="s">
        <v>189</v>
      </c>
      <c r="C19" t="s">
        <v>124</v>
      </c>
      <c r="D19" t="s">
        <v>74</v>
      </c>
      <c r="E19" t="s">
        <v>75</v>
      </c>
      <c r="F19" s="171">
        <v>2527911</v>
      </c>
      <c r="G19" s="171">
        <v>16966</v>
      </c>
      <c r="H19">
        <v>149</v>
      </c>
    </row>
    <row r="20" spans="1:8" x14ac:dyDescent="0.25">
      <c r="A20" t="s">
        <v>71</v>
      </c>
      <c r="B20" t="s">
        <v>76</v>
      </c>
      <c r="C20" t="s">
        <v>124</v>
      </c>
      <c r="D20" t="s">
        <v>74</v>
      </c>
      <c r="E20" t="s">
        <v>75</v>
      </c>
      <c r="F20" s="171">
        <v>2996343</v>
      </c>
      <c r="G20" s="171">
        <v>19085</v>
      </c>
      <c r="H20">
        <v>157</v>
      </c>
    </row>
    <row r="21" spans="1:8" x14ac:dyDescent="0.25">
      <c r="A21" t="s">
        <v>71</v>
      </c>
      <c r="B21" t="s">
        <v>72</v>
      </c>
      <c r="C21" t="s">
        <v>124</v>
      </c>
      <c r="D21" t="s">
        <v>74</v>
      </c>
      <c r="E21" t="s">
        <v>75</v>
      </c>
      <c r="F21" s="171">
        <v>3245771</v>
      </c>
      <c r="G21" s="171">
        <v>20674</v>
      </c>
      <c r="H21">
        <v>157</v>
      </c>
    </row>
    <row r="22" spans="1:8" x14ac:dyDescent="0.25">
      <c r="A22" t="s">
        <v>71</v>
      </c>
      <c r="B22" t="s">
        <v>77</v>
      </c>
      <c r="C22" t="s">
        <v>124</v>
      </c>
      <c r="D22" t="s">
        <v>74</v>
      </c>
      <c r="E22" t="s">
        <v>75</v>
      </c>
      <c r="F22" s="171">
        <v>3218001</v>
      </c>
      <c r="G22" s="171">
        <v>19864</v>
      </c>
      <c r="H22">
        <v>162</v>
      </c>
    </row>
    <row r="23" spans="1:8" x14ac:dyDescent="0.25">
      <c r="A23" t="s">
        <v>186</v>
      </c>
      <c r="B23" t="s">
        <v>190</v>
      </c>
      <c r="C23" t="s">
        <v>126</v>
      </c>
      <c r="D23" t="s">
        <v>74</v>
      </c>
      <c r="E23" t="s">
        <v>75</v>
      </c>
      <c r="F23" s="171">
        <v>12806004</v>
      </c>
      <c r="G23" s="171">
        <v>9479</v>
      </c>
      <c r="H23">
        <v>1351</v>
      </c>
    </row>
    <row r="24" spans="1:8" x14ac:dyDescent="0.25">
      <c r="A24" t="s">
        <v>186</v>
      </c>
      <c r="B24" t="s">
        <v>187</v>
      </c>
      <c r="C24" t="s">
        <v>126</v>
      </c>
      <c r="D24" t="s">
        <v>74</v>
      </c>
      <c r="E24" t="s">
        <v>75</v>
      </c>
      <c r="F24" s="171">
        <v>12400123</v>
      </c>
      <c r="G24" s="171">
        <v>8807</v>
      </c>
      <c r="H24">
        <v>1408</v>
      </c>
    </row>
    <row r="25" spans="1:8" x14ac:dyDescent="0.25">
      <c r="A25" t="s">
        <v>186</v>
      </c>
      <c r="B25" t="s">
        <v>188</v>
      </c>
      <c r="C25" t="s">
        <v>126</v>
      </c>
      <c r="D25" t="s">
        <v>74</v>
      </c>
      <c r="E25" t="s">
        <v>75</v>
      </c>
      <c r="F25" s="171">
        <v>10766429</v>
      </c>
      <c r="G25" s="171">
        <v>8256</v>
      </c>
      <c r="H25">
        <v>1304</v>
      </c>
    </row>
    <row r="26" spans="1:8" x14ac:dyDescent="0.25">
      <c r="A26" t="s">
        <v>186</v>
      </c>
      <c r="B26" t="s">
        <v>189</v>
      </c>
      <c r="C26" t="s">
        <v>126</v>
      </c>
      <c r="D26" t="s">
        <v>74</v>
      </c>
      <c r="E26" t="s">
        <v>75</v>
      </c>
      <c r="F26" s="171">
        <v>15454709</v>
      </c>
      <c r="G26" s="171">
        <v>9528</v>
      </c>
      <c r="H26">
        <v>1622</v>
      </c>
    </row>
    <row r="27" spans="1:8" x14ac:dyDescent="0.25">
      <c r="A27" t="s">
        <v>71</v>
      </c>
      <c r="B27" t="s">
        <v>76</v>
      </c>
      <c r="C27" t="s">
        <v>126</v>
      </c>
      <c r="D27" t="s">
        <v>74</v>
      </c>
      <c r="E27" t="s">
        <v>75</v>
      </c>
      <c r="F27" s="171">
        <v>15166436</v>
      </c>
      <c r="G27" s="171">
        <v>9515</v>
      </c>
      <c r="H27">
        <v>1594</v>
      </c>
    </row>
    <row r="28" spans="1:8" x14ac:dyDescent="0.25">
      <c r="A28" t="s">
        <v>71</v>
      </c>
      <c r="B28" t="s">
        <v>72</v>
      </c>
      <c r="C28" t="s">
        <v>126</v>
      </c>
      <c r="D28" t="s">
        <v>74</v>
      </c>
      <c r="E28" t="s">
        <v>75</v>
      </c>
      <c r="F28" s="171">
        <v>15947101</v>
      </c>
      <c r="G28" s="171">
        <v>10710</v>
      </c>
      <c r="H28">
        <v>1489</v>
      </c>
    </row>
    <row r="29" spans="1:8" x14ac:dyDescent="0.25">
      <c r="A29" t="s">
        <v>71</v>
      </c>
      <c r="B29" t="s">
        <v>77</v>
      </c>
      <c r="C29" t="s">
        <v>126</v>
      </c>
      <c r="D29" t="s">
        <v>74</v>
      </c>
      <c r="E29" t="s">
        <v>75</v>
      </c>
      <c r="F29" s="171">
        <v>13226494</v>
      </c>
      <c r="G29" s="171">
        <v>8771</v>
      </c>
      <c r="H29">
        <v>1508</v>
      </c>
    </row>
    <row r="30" spans="1:8" x14ac:dyDescent="0.25">
      <c r="A30" t="s">
        <v>186</v>
      </c>
      <c r="B30" t="s">
        <v>190</v>
      </c>
      <c r="C30" t="s">
        <v>161</v>
      </c>
      <c r="D30" t="s">
        <v>74</v>
      </c>
      <c r="E30" t="s">
        <v>75</v>
      </c>
      <c r="F30" s="171">
        <v>8430138</v>
      </c>
      <c r="G30" s="171">
        <v>20662</v>
      </c>
      <c r="H30">
        <v>408</v>
      </c>
    </row>
    <row r="31" spans="1:8" x14ac:dyDescent="0.25">
      <c r="A31" t="s">
        <v>186</v>
      </c>
      <c r="B31" t="s">
        <v>187</v>
      </c>
      <c r="C31" t="s">
        <v>161</v>
      </c>
      <c r="D31" t="s">
        <v>74</v>
      </c>
      <c r="E31" t="s">
        <v>75</v>
      </c>
      <c r="F31" s="171">
        <v>7105334</v>
      </c>
      <c r="G31" s="171">
        <v>17587</v>
      </c>
      <c r="H31">
        <v>404</v>
      </c>
    </row>
    <row r="32" spans="1:8" x14ac:dyDescent="0.25">
      <c r="A32" t="s">
        <v>186</v>
      </c>
      <c r="B32" t="s">
        <v>188</v>
      </c>
      <c r="C32" t="s">
        <v>161</v>
      </c>
      <c r="D32" t="s">
        <v>74</v>
      </c>
      <c r="E32" t="s">
        <v>75</v>
      </c>
      <c r="F32" s="171">
        <v>9280367</v>
      </c>
      <c r="G32" s="171">
        <v>20902</v>
      </c>
      <c r="H32">
        <v>444</v>
      </c>
    </row>
    <row r="33" spans="1:8" x14ac:dyDescent="0.25">
      <c r="A33" t="s">
        <v>186</v>
      </c>
      <c r="B33" t="s">
        <v>189</v>
      </c>
      <c r="C33" t="s">
        <v>161</v>
      </c>
      <c r="D33" t="s">
        <v>74</v>
      </c>
      <c r="E33" t="s">
        <v>75</v>
      </c>
      <c r="F33" s="171">
        <v>12599697</v>
      </c>
      <c r="G33" s="171">
        <v>25714</v>
      </c>
      <c r="H33">
        <v>490</v>
      </c>
    </row>
    <row r="34" spans="1:8" x14ac:dyDescent="0.25">
      <c r="A34" t="s">
        <v>71</v>
      </c>
      <c r="B34" t="s">
        <v>76</v>
      </c>
      <c r="C34" t="s">
        <v>161</v>
      </c>
      <c r="D34" t="s">
        <v>74</v>
      </c>
      <c r="E34" t="s">
        <v>75</v>
      </c>
      <c r="F34" s="171">
        <v>8668310</v>
      </c>
      <c r="G34" s="171">
        <v>19009</v>
      </c>
      <c r="H34">
        <v>456</v>
      </c>
    </row>
    <row r="35" spans="1:8" x14ac:dyDescent="0.25">
      <c r="A35" t="s">
        <v>71</v>
      </c>
      <c r="B35" t="s">
        <v>72</v>
      </c>
      <c r="C35" t="s">
        <v>161</v>
      </c>
      <c r="D35" t="s">
        <v>74</v>
      </c>
      <c r="E35" t="s">
        <v>75</v>
      </c>
      <c r="F35" s="171">
        <v>9432188</v>
      </c>
      <c r="G35" s="171">
        <v>20284</v>
      </c>
      <c r="H35">
        <v>465</v>
      </c>
    </row>
    <row r="36" spans="1:8" x14ac:dyDescent="0.25">
      <c r="A36" t="s">
        <v>71</v>
      </c>
      <c r="B36" t="s">
        <v>77</v>
      </c>
      <c r="C36" t="s">
        <v>161</v>
      </c>
      <c r="D36" t="s">
        <v>74</v>
      </c>
      <c r="E36" t="s">
        <v>75</v>
      </c>
      <c r="F36" s="171">
        <v>13554187</v>
      </c>
      <c r="G36" s="171">
        <v>27272</v>
      </c>
      <c r="H36">
        <v>497</v>
      </c>
    </row>
    <row r="37" spans="1:8" x14ac:dyDescent="0.25">
      <c r="A37" t="s">
        <v>186</v>
      </c>
      <c r="B37" t="s">
        <v>190</v>
      </c>
      <c r="C37" t="s">
        <v>181</v>
      </c>
      <c r="D37" t="s">
        <v>74</v>
      </c>
      <c r="E37" t="s">
        <v>75</v>
      </c>
      <c r="F37" s="171">
        <v>14536639</v>
      </c>
      <c r="G37" s="171">
        <v>14018</v>
      </c>
      <c r="H37">
        <v>1037</v>
      </c>
    </row>
    <row r="38" spans="1:8" x14ac:dyDescent="0.25">
      <c r="A38" t="s">
        <v>186</v>
      </c>
      <c r="B38" t="s">
        <v>187</v>
      </c>
      <c r="C38" t="s">
        <v>181</v>
      </c>
      <c r="D38" t="s">
        <v>74</v>
      </c>
      <c r="E38" t="s">
        <v>75</v>
      </c>
      <c r="F38" s="171">
        <v>14586320</v>
      </c>
      <c r="G38" s="171">
        <v>13683</v>
      </c>
      <c r="H38">
        <v>1066</v>
      </c>
    </row>
    <row r="39" spans="1:8" x14ac:dyDescent="0.25">
      <c r="A39" t="s">
        <v>186</v>
      </c>
      <c r="B39" t="s">
        <v>188</v>
      </c>
      <c r="C39" t="s">
        <v>181</v>
      </c>
      <c r="D39" t="s">
        <v>74</v>
      </c>
      <c r="E39" t="s">
        <v>75</v>
      </c>
      <c r="F39" s="171">
        <v>14676015</v>
      </c>
      <c r="G39" s="171">
        <v>13477</v>
      </c>
      <c r="H39">
        <v>1089</v>
      </c>
    </row>
    <row r="40" spans="1:8" x14ac:dyDescent="0.25">
      <c r="A40" t="s">
        <v>186</v>
      </c>
      <c r="B40" t="s">
        <v>189</v>
      </c>
      <c r="C40" t="s">
        <v>181</v>
      </c>
      <c r="D40" t="s">
        <v>74</v>
      </c>
      <c r="E40" t="s">
        <v>75</v>
      </c>
      <c r="F40" s="171">
        <v>13051868</v>
      </c>
      <c r="G40" s="171">
        <v>12442</v>
      </c>
      <c r="H40">
        <v>1049</v>
      </c>
    </row>
    <row r="41" spans="1:8" x14ac:dyDescent="0.25">
      <c r="A41" t="s">
        <v>71</v>
      </c>
      <c r="B41" t="s">
        <v>76</v>
      </c>
      <c r="C41" t="s">
        <v>181</v>
      </c>
      <c r="D41" t="s">
        <v>74</v>
      </c>
      <c r="E41" t="s">
        <v>75</v>
      </c>
      <c r="F41" s="171">
        <v>17310109</v>
      </c>
      <c r="G41" s="171">
        <v>15131</v>
      </c>
      <c r="H41">
        <v>1144</v>
      </c>
    </row>
    <row r="42" spans="1:8" x14ac:dyDescent="0.25">
      <c r="A42" t="s">
        <v>71</v>
      </c>
      <c r="B42" t="s">
        <v>72</v>
      </c>
      <c r="C42" t="s">
        <v>181</v>
      </c>
      <c r="D42" t="s">
        <v>74</v>
      </c>
      <c r="E42" t="s">
        <v>75</v>
      </c>
      <c r="F42" s="171">
        <v>18272360</v>
      </c>
      <c r="G42" s="171">
        <v>16315</v>
      </c>
      <c r="H42">
        <v>1120</v>
      </c>
    </row>
    <row r="43" spans="1:8" x14ac:dyDescent="0.25">
      <c r="A43" t="s">
        <v>71</v>
      </c>
      <c r="B43" t="s">
        <v>77</v>
      </c>
      <c r="C43" t="s">
        <v>181</v>
      </c>
      <c r="D43" t="s">
        <v>74</v>
      </c>
      <c r="E43" t="s">
        <v>75</v>
      </c>
      <c r="F43" s="171">
        <v>18578767</v>
      </c>
      <c r="G43" s="171">
        <v>16529</v>
      </c>
      <c r="H43">
        <v>1124</v>
      </c>
    </row>
  </sheetData>
  <autoFilter ref="A1:I4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Sheet1</vt:lpstr>
      <vt:lpstr>Overview</vt:lpstr>
      <vt:lpstr>Italy</vt:lpstr>
      <vt:lpstr>Raw CSG Italy SnS</vt:lpstr>
      <vt:lpstr>RAW CSG BLX SnS</vt:lpstr>
      <vt:lpstr>Raw CSG WER SnS</vt:lpstr>
      <vt:lpstr>Raw CSG Country SnS</vt:lpstr>
      <vt:lpstr>Raw Commercial Region SnS+B2B</vt:lpstr>
      <vt:lpstr>Raw Commercial Country SnS+B2B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Avalos, Pamela</dc:creator>
  <cp:lastModifiedBy>Bruno</cp:lastModifiedBy>
  <dcterms:created xsi:type="dcterms:W3CDTF">2019-10-21T12:45:12Z</dcterms:created>
  <dcterms:modified xsi:type="dcterms:W3CDTF">2019-11-27T12:08:24Z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de70ee2-0cb4-4d60-aee5-75ef2c4c8a90_Enabled">
    <vt:lpwstr>True</vt:lpwstr>
  </property>
  <property fmtid="{D5CDD505-2E9C-101B-9397-08002B2CF9AE}" pid="3" name="MSIP_Label_7de70ee2-0cb4-4d60-aee5-75ef2c4c8a90_SiteId">
    <vt:lpwstr>945c199a-83a2-4e80-9f8c-5a91be5752dd</vt:lpwstr>
  </property>
  <property fmtid="{D5CDD505-2E9C-101B-9397-08002B2CF9AE}" pid="4" name="MSIP_Label_7de70ee2-0cb4-4d60-aee5-75ef2c4c8a90_Owner">
    <vt:lpwstr>Pamela_Avalos@Dell.com</vt:lpwstr>
  </property>
  <property fmtid="{D5CDD505-2E9C-101B-9397-08002B2CF9AE}" pid="5" name="MSIP_Label_7de70ee2-0cb4-4d60-aee5-75ef2c4c8a90_SetDate">
    <vt:lpwstr>2019-10-21T13:56:25.3052577Z</vt:lpwstr>
  </property>
  <property fmtid="{D5CDD505-2E9C-101B-9397-08002B2CF9AE}" pid="6" name="MSIP_Label_7de70ee2-0cb4-4d60-aee5-75ef2c4c8a90_Name">
    <vt:lpwstr>Internal Use</vt:lpwstr>
  </property>
  <property fmtid="{D5CDD505-2E9C-101B-9397-08002B2CF9AE}" pid="7" name="MSIP_Label_7de70ee2-0cb4-4d60-aee5-75ef2c4c8a90_Application">
    <vt:lpwstr>Microsoft Azure Information Protection</vt:lpwstr>
  </property>
  <property fmtid="{D5CDD505-2E9C-101B-9397-08002B2CF9AE}" pid="8" name="MSIP_Label_7de70ee2-0cb4-4d60-aee5-75ef2c4c8a90_Extended_MSFT_Method">
    <vt:lpwstr>Manual</vt:lpwstr>
  </property>
  <property fmtid="{D5CDD505-2E9C-101B-9397-08002B2CF9AE}" pid="9" name="MSIP_Label_da6fab74-d5af-4af7-a9a4-78d84655a626_Enabled">
    <vt:lpwstr>True</vt:lpwstr>
  </property>
  <property fmtid="{D5CDD505-2E9C-101B-9397-08002B2CF9AE}" pid="10" name="MSIP_Label_da6fab74-d5af-4af7-a9a4-78d84655a626_SiteId">
    <vt:lpwstr>945c199a-83a2-4e80-9f8c-5a91be5752dd</vt:lpwstr>
  </property>
  <property fmtid="{D5CDD505-2E9C-101B-9397-08002B2CF9AE}" pid="11" name="MSIP_Label_da6fab74-d5af-4af7-a9a4-78d84655a626_Owner">
    <vt:lpwstr>Pamela_Avalos@Dell.com</vt:lpwstr>
  </property>
  <property fmtid="{D5CDD505-2E9C-101B-9397-08002B2CF9AE}" pid="12" name="MSIP_Label_da6fab74-d5af-4af7-a9a4-78d84655a626_SetDate">
    <vt:lpwstr>2019-10-21T13:56:25.3052577Z</vt:lpwstr>
  </property>
  <property fmtid="{D5CDD505-2E9C-101B-9397-08002B2CF9AE}" pid="13" name="MSIP_Label_da6fab74-d5af-4af7-a9a4-78d84655a626_Name">
    <vt:lpwstr>Visual Marking</vt:lpwstr>
  </property>
  <property fmtid="{D5CDD505-2E9C-101B-9397-08002B2CF9AE}" pid="14" name="MSIP_Label_da6fab74-d5af-4af7-a9a4-78d84655a626_Application">
    <vt:lpwstr>Microsoft Azure Information Protection</vt:lpwstr>
  </property>
  <property fmtid="{D5CDD505-2E9C-101B-9397-08002B2CF9AE}" pid="15" name="MSIP_Label_da6fab74-d5af-4af7-a9a4-78d84655a626_Parent">
    <vt:lpwstr>7de70ee2-0cb4-4d60-aee5-75ef2c4c8a90</vt:lpwstr>
  </property>
  <property fmtid="{D5CDD505-2E9C-101B-9397-08002B2CF9AE}" pid="16" name="MSIP_Label_da6fab74-d5af-4af7-a9a4-78d84655a626_Extended_MSFT_Method">
    <vt:lpwstr>Manual</vt:lpwstr>
  </property>
  <property fmtid="{D5CDD505-2E9C-101B-9397-08002B2CF9AE}" pid="17" name="aiplabel">
    <vt:lpwstr>Internal Use Visual Marking</vt:lpwstr>
  </property>
</Properties>
</file>