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updateLinks="always" codeName="ThisWorkbook"/>
  <bookViews>
    <workbookView xWindow="0" yWindow="0" windowWidth="10800" windowHeight="7020" tabRatio="767" activeTab="1"/>
  </bookViews>
  <sheets>
    <sheet name="Matrice" sheetId="20" r:id="rId1"/>
    <sheet name="CRA Récapitulatif" sheetId="17" r:id="rId2"/>
    <sheet name="Feuil9" sheetId="65" r:id="rId3"/>
  </sheets>
  <externalReferences>
    <externalReference r:id="rId4"/>
    <externalReference r:id="rId5"/>
    <externalReference r:id="rId6"/>
  </externalReferences>
  <definedNames>
    <definedName name="annee">#REF!</definedName>
    <definedName name="AnneeCourante">#REF!</definedName>
    <definedName name="DateDebut">#REF!</definedName>
    <definedName name="DateEnreg">#REF!</definedName>
    <definedName name="DateFin">#REF!</definedName>
    <definedName name="dimanche">#REF!</definedName>
    <definedName name="dimanche_15">#REF!</definedName>
    <definedName name="dimanche_15_1">#REF!</definedName>
    <definedName name="Janvier">'CRA Récapitulatif'!$G$10:$AK$10</definedName>
    <definedName name="jeudi">#REF!</definedName>
    <definedName name="jeudi_15">#REF!</definedName>
    <definedName name="jeudi_15_1">#REF!</definedName>
    <definedName name="Jfr">[1]Data!$C$3:$C$12</definedName>
    <definedName name="lundi">#REF!</definedName>
    <definedName name="lundi_15">#REF!</definedName>
    <definedName name="lundi_15_1">#REF!</definedName>
    <definedName name="lundi1">#REF!</definedName>
    <definedName name="mardi">#REF!</definedName>
    <definedName name="mardi_15">#REF!</definedName>
    <definedName name="mardi_15_1">#REF!</definedName>
    <definedName name="mercredi">#REF!</definedName>
    <definedName name="mercredi_15">#REF!</definedName>
    <definedName name="mercredi_15_1">#REF!</definedName>
    <definedName name="MotifVide">#REF!</definedName>
    <definedName name="régime_15j">#REF!</definedName>
    <definedName name="samedi">#REF!</definedName>
    <definedName name="samedi_15">#REF!</definedName>
    <definedName name="samedi_15_1">#REF!</definedName>
    <definedName name="Selection_Mois_CRA" localSheetId="1">#REF!</definedName>
    <definedName name="sp">#REF!</definedName>
    <definedName name="StatutSamedi">#REF!</definedName>
    <definedName name="une_minute">#REF!</definedName>
    <definedName name="vendredi">#REF!</definedName>
    <definedName name="vendredi_15">#REF!</definedName>
    <definedName name="vendredi_15_1">#REF!</definedName>
    <definedName name="_xlnm.Print_Area" localSheetId="1">'CRA Récapitulatif'!$A$2:$AM$23</definedName>
  </definedNames>
  <calcPr calcId="145621"/>
</workbook>
</file>

<file path=xl/calcChain.xml><?xml version="1.0" encoding="utf-8"?>
<calcChain xmlns="http://schemas.openxmlformats.org/spreadsheetml/2006/main">
  <c r="A3" i="65" l="1"/>
  <c r="A2" i="65"/>
  <c r="AL10" i="17"/>
  <c r="AL11" i="17"/>
  <c r="AL12" i="17"/>
  <c r="AL13" i="17"/>
  <c r="A1" i="65"/>
  <c r="AL21" i="17"/>
  <c r="AL20" i="17"/>
  <c r="D20" i="17" s="1"/>
  <c r="AL18" i="17"/>
  <c r="AL17" i="17"/>
  <c r="AL16" i="17"/>
  <c r="D16" i="17" s="1"/>
  <c r="AL15" i="17"/>
  <c r="AL14" i="17"/>
  <c r="AL19" i="17"/>
  <c r="D19" i="17"/>
  <c r="B28" i="20"/>
  <c r="B29" i="20"/>
  <c r="B10" i="17"/>
  <c r="B31" i="20"/>
  <c r="B19" i="20"/>
  <c r="L31" i="20"/>
  <c r="D31" i="20"/>
  <c r="E31" i="20"/>
  <c r="G31" i="20"/>
  <c r="H31" i="20"/>
  <c r="I31" i="20"/>
  <c r="J31" i="20"/>
  <c r="K31" i="20"/>
  <c r="J28" i="20"/>
  <c r="J29" i="20"/>
  <c r="B23" i="20"/>
  <c r="G28" i="20"/>
  <c r="G29" i="20"/>
  <c r="B15" i="20"/>
  <c r="D11" i="17"/>
  <c r="D13" i="17"/>
  <c r="B11" i="20"/>
  <c r="C10" i="17"/>
  <c r="D12" i="17"/>
  <c r="B2" i="17"/>
  <c r="B34" i="20"/>
  <c r="B35" i="20"/>
  <c r="B36" i="20"/>
  <c r="B37" i="20"/>
  <c r="B38" i="20"/>
  <c r="B39" i="20"/>
  <c r="B40" i="20"/>
  <c r="B41" i="20"/>
  <c r="B42" i="20"/>
  <c r="B43" i="20"/>
  <c r="B44" i="20"/>
  <c r="B45" i="20"/>
  <c r="B46" i="20"/>
  <c r="B47" i="20"/>
  <c r="B48" i="20"/>
  <c r="B49" i="20"/>
  <c r="M28" i="20"/>
  <c r="M29" i="20"/>
  <c r="L28" i="20"/>
  <c r="L29" i="20"/>
  <c r="B20" i="17"/>
  <c r="K28" i="20"/>
  <c r="K29" i="20"/>
  <c r="B19" i="17"/>
  <c r="I28" i="20"/>
  <c r="I29" i="20"/>
  <c r="B17" i="17"/>
  <c r="H28" i="20"/>
  <c r="F28" i="20"/>
  <c r="F29" i="20"/>
  <c r="E28" i="20"/>
  <c r="D28" i="20"/>
  <c r="C28" i="20"/>
  <c r="C27" i="20"/>
  <c r="D27" i="20"/>
  <c r="E27" i="20"/>
  <c r="F27" i="20"/>
  <c r="G27" i="20"/>
  <c r="H27" i="20"/>
  <c r="I27" i="20"/>
  <c r="J27" i="20"/>
  <c r="K27" i="20"/>
  <c r="L27" i="20"/>
  <c r="M27" i="20"/>
  <c r="G9" i="17"/>
  <c r="H9" i="17" s="1"/>
  <c r="I9" i="17" s="1"/>
  <c r="J9" i="17" s="1"/>
  <c r="K9" i="17" s="1"/>
  <c r="L9" i="17" s="1"/>
  <c r="M9" i="17" s="1"/>
  <c r="N9" i="17" s="1"/>
  <c r="O9" i="17" s="1"/>
  <c r="P9" i="17" s="1"/>
  <c r="Q9" i="17" s="1"/>
  <c r="R9" i="17" s="1"/>
  <c r="S9" i="17" s="1"/>
  <c r="T9" i="17" s="1"/>
  <c r="U9" i="17" s="1"/>
  <c r="V9" i="17" s="1"/>
  <c r="W9" i="17" s="1"/>
  <c r="X9" i="17" s="1"/>
  <c r="Y9" i="17" s="1"/>
  <c r="Z9" i="17" s="1"/>
  <c r="AA9" i="17" s="1"/>
  <c r="AB9" i="17" s="1"/>
  <c r="AC9" i="17" s="1"/>
  <c r="AD9" i="17" s="1"/>
  <c r="AE9" i="17" s="1"/>
  <c r="AF9" i="17" s="1"/>
  <c r="AG9" i="17" s="1"/>
  <c r="AH9" i="17" s="1"/>
  <c r="AI9" i="17" s="1"/>
  <c r="AJ9" i="17" s="1"/>
  <c r="AK9" i="17" s="1"/>
  <c r="B6" i="17"/>
  <c r="B4" i="17"/>
  <c r="B3" i="17"/>
  <c r="A13" i="20"/>
  <c r="B27" i="20"/>
  <c r="E29" i="20"/>
  <c r="B13" i="17"/>
  <c r="B18" i="17"/>
  <c r="C31" i="20"/>
  <c r="D29" i="20"/>
  <c r="B12" i="17"/>
  <c r="C29" i="20"/>
  <c r="B11" i="17"/>
  <c r="B14" i="17"/>
  <c r="H29" i="20"/>
  <c r="B16" i="17"/>
  <c r="B15" i="17"/>
  <c r="B21" i="17"/>
  <c r="F31" i="20"/>
  <c r="I32" i="20"/>
  <c r="B32" i="20"/>
  <c r="M32" i="20"/>
  <c r="C32" i="20"/>
  <c r="H32" i="20"/>
  <c r="K32" i="20"/>
  <c r="J32" i="20"/>
  <c r="G32" i="20"/>
  <c r="F32" i="20"/>
  <c r="L32" i="20"/>
  <c r="D32" i="20"/>
  <c r="E32" i="20"/>
  <c r="D15" i="17"/>
  <c r="D14" i="17" l="1"/>
  <c r="D18" i="17"/>
  <c r="D21" i="17"/>
  <c r="D10" i="17"/>
  <c r="E10" i="17" s="1"/>
  <c r="C11" i="17" s="1"/>
  <c r="E11" i="17" s="1"/>
  <c r="C12" i="17" s="1"/>
  <c r="E12" i="17" s="1"/>
  <c r="C13" i="17" s="1"/>
  <c r="E13" i="17" s="1"/>
  <c r="D17" i="17"/>
  <c r="AL22" i="17"/>
  <c r="C14" i="17" l="1"/>
  <c r="E14" i="17" s="1"/>
  <c r="C15" i="17" s="1"/>
  <c r="E15" i="17" s="1"/>
  <c r="C16" i="17" s="1"/>
  <c r="E16" i="17" s="1"/>
  <c r="C17" i="17" s="1"/>
  <c r="E17" i="17" s="1"/>
  <c r="C18" i="17" s="1"/>
  <c r="E18" i="17" s="1"/>
  <c r="C19" i="17" s="1"/>
  <c r="E19" i="17" s="1"/>
  <c r="C20" i="17" s="1"/>
  <c r="E20" i="17" s="1"/>
  <c r="C21" i="17" s="1"/>
  <c r="E21" i="17" s="1"/>
</calcChain>
</file>

<file path=xl/comments1.xml><?xml version="1.0" encoding="utf-8"?>
<comments xmlns="http://schemas.openxmlformats.org/spreadsheetml/2006/main">
  <authors>
    <author>Gregory Schmitz</author>
  </authors>
  <commentList>
    <comment ref="B16" authorId="0">
      <text>
        <r>
          <rPr>
            <b/>
            <sz val="9"/>
            <color indexed="81"/>
            <rFont val="Tahoma"/>
            <family val="2"/>
          </rPr>
          <t>Gregory Schmitz:</t>
        </r>
        <r>
          <rPr>
            <sz val="9"/>
            <color indexed="81"/>
            <rFont val="Tahoma"/>
            <family val="2"/>
          </rPr>
          <t xml:space="preserve">
Taux de Provisions pour charges théorique : ce que je mets de côté chaque mois en prévision du paiement des charges</t>
        </r>
      </text>
    </comment>
  </commentList>
</comments>
</file>

<file path=xl/sharedStrings.xml><?xml version="1.0" encoding="utf-8"?>
<sst xmlns="http://schemas.openxmlformats.org/spreadsheetml/2006/main" count="58" uniqueCount="55">
  <si>
    <t>1ère séléction</t>
  </si>
  <si>
    <t>Porteur</t>
  </si>
  <si>
    <t>A l'attention de :</t>
  </si>
  <si>
    <t>Adresse</t>
  </si>
  <si>
    <t>CP/Ville</t>
  </si>
  <si>
    <t>N° de contrat</t>
  </si>
  <si>
    <t>Mission</t>
  </si>
  <si>
    <t>Fin de Mission</t>
  </si>
  <si>
    <t>Reliquat jour de contrat N-1</t>
  </si>
  <si>
    <t>Nombre de jour du contrat</t>
  </si>
  <si>
    <t>Total</t>
  </si>
  <si>
    <t>Différentiel de PPC N-1</t>
  </si>
  <si>
    <t>TJM personnel</t>
  </si>
  <si>
    <t>Taux de facturation</t>
  </si>
  <si>
    <t>Tx provisions pour charges</t>
  </si>
  <si>
    <t>TVA</t>
  </si>
  <si>
    <t>Année</t>
  </si>
  <si>
    <t>Pâques</t>
  </si>
  <si>
    <t>N° de siren</t>
  </si>
  <si>
    <t>N° de SIRET</t>
  </si>
  <si>
    <t>N° TVA Intra</t>
  </si>
  <si>
    <t>Mois courant</t>
  </si>
  <si>
    <t>Simul Mois courant</t>
  </si>
  <si>
    <t>Mois</t>
  </si>
  <si>
    <t>Nb jour</t>
  </si>
  <si>
    <t>Jours fériés</t>
  </si>
  <si>
    <t>Jour de l'an</t>
  </si>
  <si>
    <t>Lundi de Pâques</t>
  </si>
  <si>
    <t>Fête du Travail</t>
  </si>
  <si>
    <t>39/45</t>
  </si>
  <si>
    <t>Ascension </t>
  </si>
  <si>
    <t>14 Juillet</t>
  </si>
  <si>
    <t>Assomption </t>
  </si>
  <si>
    <t>Toussaint </t>
  </si>
  <si>
    <t>14/18</t>
  </si>
  <si>
    <t>Noël</t>
  </si>
  <si>
    <t>Lundi de Pentecôte</t>
  </si>
  <si>
    <t>Dates fériées</t>
  </si>
  <si>
    <t>Nb jour ouvrés</t>
  </si>
  <si>
    <t>Tx de prov</t>
  </si>
  <si>
    <t>Paiement efféctué</t>
  </si>
  <si>
    <t>Oui</t>
  </si>
  <si>
    <t>Non</t>
  </si>
  <si>
    <t>Non travaillé</t>
  </si>
  <si>
    <t>Nb jours</t>
  </si>
  <si>
    <t>Année :</t>
  </si>
  <si>
    <t>Mission :</t>
  </si>
  <si>
    <t>Contrat :</t>
  </si>
  <si>
    <t>Prestation de :</t>
  </si>
  <si>
    <t>Fin de mission :</t>
  </si>
  <si>
    <t>RAF Début de mois</t>
  </si>
  <si>
    <t>Total du mois</t>
  </si>
  <si>
    <t>RAF fin de mois</t>
  </si>
  <si>
    <t>TOTAL</t>
  </si>
  <si>
    <t>Période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</si>
</sst>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\ _€_-;\-* #,##0.00\ _€_-;_-* &quot;-&quot;??\ _€_-;_-@_-"/>
    <numFmt numFmtId="165" formatCode="_(* #,##0.00_);_(* \(#,##0.00\);_(* &quot;-&quot;??_);_(@_)"/>
    <numFmt numFmtId="166" formatCode="yyyy"/>
    <numFmt numFmtId="167" formatCode="mmmm\ yyyy"/>
    <numFmt numFmtId="168" formatCode="mmm\ yyyy"/>
    <numFmt numFmtId="169" formatCode="0.0"/>
    <numFmt numFmtId="170" formatCode="0.0%"/>
    <numFmt numFmtId="174" formatCode="mmmm"/>
    <numFmt numFmtId="175" formatCode="d"/>
    <numFmt numFmtId="176" formatCode="00"/>
    <numFmt numFmtId="177" formatCode="m"/>
    <numFmt numFmtId="178" formatCode="0.0000"/>
    <numFmt numFmtId="180" formatCode="_-* #,##0\ _€_-;\-* #,##0\ _€_-;_-* &quot;-&quot;??\ _€_-;_-@_-"/>
  </numFmts>
  <fonts count="1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sz val="10"/>
      <color rgb="FF0070C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lightDown">
        <bgColor rgb="FFFFFF00"/>
      </patternFill>
    </fill>
  </fills>
  <borders count="21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5" fontId="10" fillId="0" borderId="0" applyFont="0" applyFill="0" applyBorder="0" applyAlignment="0" applyProtection="0"/>
  </cellStyleXfs>
  <cellXfs count="130">
    <xf numFmtId="0" fontId="0" fillId="0" borderId="0" xfId="0"/>
    <xf numFmtId="0" fontId="1" fillId="0" borderId="1" xfId="1" applyBorder="1"/>
    <xf numFmtId="0" fontId="1" fillId="3" borderId="0" xfId="1" applyFill="1" applyBorder="1" applyAlignment="1">
      <alignment horizontal="left"/>
    </xf>
    <xf numFmtId="0" fontId="1" fillId="3" borderId="0" xfId="1" applyFill="1"/>
    <xf numFmtId="0" fontId="2" fillId="3" borderId="0" xfId="1" applyFont="1" applyFill="1" applyAlignment="1">
      <alignment horizontal="left" vertical="center"/>
    </xf>
    <xf numFmtId="0" fontId="2" fillId="3" borderId="0" xfId="1" applyFont="1" applyFill="1"/>
    <xf numFmtId="167" fontId="2" fillId="3" borderId="0" xfId="1" applyNumberFormat="1" applyFont="1" applyFill="1" applyAlignment="1">
      <alignment horizontal="left" vertical="center"/>
    </xf>
    <xf numFmtId="168" fontId="3" fillId="3" borderId="0" xfId="1" applyNumberFormat="1" applyFont="1" applyFill="1" applyAlignment="1">
      <alignment horizontal="left" vertical="center"/>
    </xf>
    <xf numFmtId="168" fontId="3" fillId="3" borderId="0" xfId="1" applyNumberFormat="1" applyFont="1" applyFill="1" applyBorder="1" applyAlignment="1">
      <alignment horizontal="left" vertical="center"/>
    </xf>
    <xf numFmtId="0" fontId="2" fillId="3" borderId="0" xfId="1" applyFont="1" applyFill="1" applyBorder="1"/>
    <xf numFmtId="0" fontId="2" fillId="3" borderId="4" xfId="1" applyFont="1" applyFill="1" applyBorder="1" applyAlignment="1">
      <alignment horizontal="center" vertical="center"/>
    </xf>
    <xf numFmtId="0" fontId="2" fillId="3" borderId="0" xfId="1" applyFont="1" applyFill="1" applyBorder="1" applyAlignment="1">
      <alignment horizontal="center"/>
    </xf>
    <xf numFmtId="0" fontId="2" fillId="3" borderId="0" xfId="1" applyFont="1" applyFill="1" applyBorder="1" applyAlignment="1">
      <alignment horizontal="left" vertical="center"/>
    </xf>
    <xf numFmtId="0" fontId="1" fillId="2" borderId="15" xfId="1" applyFill="1" applyBorder="1"/>
    <xf numFmtId="0" fontId="2" fillId="3" borderId="0" xfId="1" applyFont="1" applyFill="1" applyAlignment="1">
      <alignment horizontal="right"/>
    </xf>
    <xf numFmtId="49" fontId="2" fillId="3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right" vertical="center"/>
    </xf>
    <xf numFmtId="0" fontId="3" fillId="3" borderId="0" xfId="1" applyFont="1" applyFill="1" applyAlignment="1">
      <alignment horizontal="right"/>
    </xf>
    <xf numFmtId="168" fontId="2" fillId="4" borderId="4" xfId="1" applyNumberFormat="1" applyFont="1" applyFill="1" applyBorder="1" applyAlignment="1">
      <alignment horizontal="center" vertical="top" wrapText="1"/>
    </xf>
    <xf numFmtId="176" fontId="2" fillId="5" borderId="4" xfId="0" applyNumberFormat="1" applyFont="1" applyFill="1" applyBorder="1" applyAlignment="1">
      <alignment horizontal="center" vertical="center" shrinkToFit="1"/>
    </xf>
    <xf numFmtId="0" fontId="4" fillId="6" borderId="4" xfId="1" applyFont="1" applyFill="1" applyBorder="1" applyAlignment="1">
      <alignment horizontal="center" vertical="center"/>
    </xf>
    <xf numFmtId="0" fontId="1" fillId="0" borderId="7" xfId="1" applyNumberFormat="1" applyBorder="1" applyAlignment="1">
      <alignment horizontal="center"/>
    </xf>
    <xf numFmtId="0" fontId="0" fillId="3" borderId="0" xfId="0" applyFill="1"/>
    <xf numFmtId="166" fontId="1" fillId="3" borderId="0" xfId="0" applyNumberFormat="1" applyFont="1" applyFill="1" applyAlignment="1">
      <alignment horizontal="left" vertical="top" wrapText="1"/>
    </xf>
    <xf numFmtId="0" fontId="1" fillId="3" borderId="0" xfId="0" applyFont="1" applyFill="1" applyAlignment="1">
      <alignment horizontal="left" vertical="top" wrapText="1"/>
    </xf>
    <xf numFmtId="174" fontId="0" fillId="3" borderId="0" xfId="0" applyNumberFormat="1" applyFill="1"/>
    <xf numFmtId="14" fontId="1" fillId="8" borderId="0" xfId="1" applyNumberFormat="1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49" fontId="1" fillId="8" borderId="0" xfId="0" applyNumberFormat="1" applyFont="1" applyFill="1" applyAlignment="1">
      <alignment horizontal="center" vertical="center"/>
    </xf>
    <xf numFmtId="0" fontId="0" fillId="8" borderId="0" xfId="0" applyFill="1"/>
    <xf numFmtId="14" fontId="1" fillId="8" borderId="0" xfId="0" applyNumberFormat="1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14" fontId="5" fillId="8" borderId="0" xfId="0" applyNumberFormat="1" applyFont="1" applyFill="1" applyAlignment="1">
      <alignment horizontal="center" vertical="center"/>
    </xf>
    <xf numFmtId="174" fontId="1" fillId="11" borderId="7" xfId="1" applyNumberFormat="1" applyFill="1" applyBorder="1" applyAlignment="1">
      <alignment horizontal="center" vertical="center"/>
    </xf>
    <xf numFmtId="0" fontId="1" fillId="10" borderId="0" xfId="1" applyNumberFormat="1" applyFill="1" applyAlignment="1">
      <alignment horizontal="center" vertical="center"/>
    </xf>
    <xf numFmtId="177" fontId="0" fillId="10" borderId="0" xfId="0" applyNumberFormat="1" applyFill="1" applyAlignment="1">
      <alignment horizontal="center"/>
    </xf>
    <xf numFmtId="0" fontId="1" fillId="8" borderId="0" xfId="1" applyNumberFormat="1" applyFill="1" applyAlignment="1">
      <alignment horizontal="center" vertical="center"/>
    </xf>
    <xf numFmtId="175" fontId="1" fillId="10" borderId="4" xfId="1" applyNumberFormat="1" applyFill="1" applyBorder="1" applyAlignment="1">
      <alignment horizontal="center" vertical="center"/>
    </xf>
    <xf numFmtId="0" fontId="2" fillId="12" borderId="4" xfId="1" applyFont="1" applyFill="1" applyBorder="1" applyAlignment="1">
      <alignment horizontal="center" vertical="center"/>
    </xf>
    <xf numFmtId="0" fontId="1" fillId="3" borderId="4" xfId="0" applyFont="1" applyFill="1" applyBorder="1"/>
    <xf numFmtId="170" fontId="0" fillId="3" borderId="4" xfId="0" applyNumberFormat="1" applyFill="1" applyBorder="1"/>
    <xf numFmtId="0" fontId="0" fillId="3" borderId="4" xfId="0" applyFill="1" applyBorder="1"/>
    <xf numFmtId="178" fontId="0" fillId="3" borderId="4" xfId="0" applyNumberFormat="1" applyFill="1" applyBorder="1"/>
    <xf numFmtId="0" fontId="0" fillId="3" borderId="0" xfId="0" applyFill="1" applyBorder="1"/>
    <xf numFmtId="0" fontId="6" fillId="3" borderId="4" xfId="0" applyFont="1" applyFill="1" applyBorder="1"/>
    <xf numFmtId="9" fontId="1" fillId="3" borderId="6" xfId="0" applyNumberFormat="1" applyFont="1" applyFill="1" applyBorder="1"/>
    <xf numFmtId="0" fontId="2" fillId="18" borderId="4" xfId="1" applyFont="1" applyFill="1" applyBorder="1" applyAlignment="1">
      <alignment horizontal="center" vertical="center"/>
    </xf>
    <xf numFmtId="169" fontId="4" fillId="17" borderId="4" xfId="1" applyNumberFormat="1" applyFont="1" applyFill="1" applyBorder="1" applyAlignment="1">
      <alignment horizontal="center" vertical="center"/>
    </xf>
    <xf numFmtId="169" fontId="4" fillId="6" borderId="4" xfId="1" applyNumberFormat="1" applyFont="1" applyFill="1" applyBorder="1" applyAlignment="1">
      <alignment horizontal="center" vertical="center"/>
    </xf>
    <xf numFmtId="2" fontId="2" fillId="3" borderId="4" xfId="1" applyNumberFormat="1" applyFont="1" applyFill="1" applyBorder="1" applyAlignment="1">
      <alignment horizontal="center" vertical="center"/>
    </xf>
    <xf numFmtId="0" fontId="1" fillId="2" borderId="0" xfId="1" applyFill="1" applyBorder="1"/>
    <xf numFmtId="175" fontId="1" fillId="8" borderId="0" xfId="1" applyNumberFormat="1" applyFont="1" applyFill="1" applyAlignment="1">
      <alignment horizontal="center" vertical="center"/>
    </xf>
    <xf numFmtId="0" fontId="1" fillId="3" borderId="0" xfId="0" applyFont="1" applyFill="1"/>
    <xf numFmtId="0" fontId="6" fillId="16" borderId="9" xfId="1" applyFont="1" applyFill="1" applyBorder="1" applyAlignment="1">
      <alignment vertical="center"/>
    </xf>
    <xf numFmtId="0" fontId="6" fillId="16" borderId="14" xfId="1" applyFont="1" applyFill="1" applyBorder="1" applyAlignment="1">
      <alignment vertical="center"/>
    </xf>
    <xf numFmtId="0" fontId="6" fillId="16" borderId="14" xfId="1" quotePrefix="1" applyFont="1" applyFill="1" applyBorder="1" applyAlignment="1">
      <alignment vertical="center"/>
    </xf>
    <xf numFmtId="49" fontId="6" fillId="16" borderId="14" xfId="1" applyNumberFormat="1" applyFont="1" applyFill="1" applyBorder="1" applyAlignment="1">
      <alignment vertical="center"/>
    </xf>
    <xf numFmtId="0" fontId="6" fillId="16" borderId="14" xfId="1" applyNumberFormat="1" applyFont="1" applyFill="1" applyBorder="1" applyAlignment="1">
      <alignment horizontal="left" vertical="center"/>
    </xf>
    <xf numFmtId="1" fontId="6" fillId="16" borderId="14" xfId="1" applyNumberFormat="1" applyFont="1" applyFill="1" applyBorder="1" applyAlignment="1">
      <alignment horizontal="left" vertical="center"/>
    </xf>
    <xf numFmtId="169" fontId="1" fillId="5" borderId="14" xfId="1" quotePrefix="1" applyNumberFormat="1" applyFont="1" applyFill="1" applyBorder="1" applyAlignment="1">
      <alignment horizontal="left" vertical="center"/>
    </xf>
    <xf numFmtId="0" fontId="1" fillId="5" borderId="14" xfId="1" quotePrefix="1" applyFont="1" applyFill="1" applyBorder="1" applyAlignment="1">
      <alignment horizontal="left" vertical="center"/>
    </xf>
    <xf numFmtId="0" fontId="6" fillId="16" borderId="14" xfId="1" quotePrefix="1" applyFont="1" applyFill="1" applyBorder="1" applyAlignment="1">
      <alignment horizontal="left" vertical="center"/>
    </xf>
    <xf numFmtId="9" fontId="1" fillId="5" borderId="14" xfId="1" quotePrefix="1" applyNumberFormat="1" applyFont="1" applyFill="1" applyBorder="1" applyAlignment="1">
      <alignment horizontal="left" vertical="center"/>
    </xf>
    <xf numFmtId="10" fontId="6" fillId="16" borderId="14" xfId="1" quotePrefix="1" applyNumberFormat="1" applyFont="1" applyFill="1" applyBorder="1" applyAlignment="1">
      <alignment horizontal="left" vertical="center"/>
    </xf>
    <xf numFmtId="14" fontId="1" fillId="5" borderId="14" xfId="1" applyNumberFormat="1" applyFont="1" applyFill="1" applyBorder="1" applyAlignment="1">
      <alignment horizontal="left" vertical="center"/>
    </xf>
    <xf numFmtId="49" fontId="1" fillId="5" borderId="14" xfId="1" applyNumberFormat="1" applyFont="1" applyFill="1" applyBorder="1" applyAlignment="1">
      <alignment horizontal="left" vertical="center"/>
    </xf>
    <xf numFmtId="0" fontId="1" fillId="9" borderId="18" xfId="1" quotePrefix="1" applyFont="1" applyFill="1" applyBorder="1" applyAlignment="1">
      <alignment horizontal="left" vertical="center"/>
    </xf>
    <xf numFmtId="0" fontId="1" fillId="9" borderId="19" xfId="1" applyFont="1" applyFill="1" applyBorder="1" applyAlignment="1">
      <alignment horizontal="left" vertical="center"/>
    </xf>
    <xf numFmtId="0" fontId="1" fillId="9" borderId="19" xfId="1" quotePrefix="1" applyFont="1" applyFill="1" applyBorder="1" applyAlignment="1">
      <alignment horizontal="left" vertical="center"/>
    </xf>
    <xf numFmtId="180" fontId="1" fillId="13" borderId="8" xfId="2" applyNumberFormat="1" applyFont="1" applyFill="1" applyBorder="1" applyAlignment="1">
      <alignment horizontal="center" vertical="center"/>
    </xf>
    <xf numFmtId="180" fontId="1" fillId="0" borderId="4" xfId="2" applyNumberFormat="1" applyFont="1" applyBorder="1" applyAlignment="1">
      <alignment horizontal="center" vertical="center"/>
    </xf>
    <xf numFmtId="14" fontId="2" fillId="3" borderId="0" xfId="1" applyNumberFormat="1" applyFont="1" applyFill="1"/>
    <xf numFmtId="0" fontId="1" fillId="3" borderId="0" xfId="1" applyFont="1" applyFill="1"/>
    <xf numFmtId="0" fontId="2" fillId="18" borderId="3" xfId="1" applyFont="1" applyFill="1" applyBorder="1" applyAlignment="1">
      <alignment horizontal="center" vertical="center"/>
    </xf>
    <xf numFmtId="0" fontId="2" fillId="18" borderId="9" xfId="1" applyFont="1" applyFill="1" applyBorder="1" applyAlignment="1">
      <alignment horizontal="center" vertical="center"/>
    </xf>
    <xf numFmtId="0" fontId="2" fillId="18" borderId="7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2" fillId="3" borderId="7" xfId="1" applyFont="1" applyFill="1" applyBorder="1" applyAlignment="1">
      <alignment horizontal="center" vertical="center"/>
    </xf>
    <xf numFmtId="0" fontId="2" fillId="19" borderId="4" xfId="1" applyFont="1" applyFill="1" applyBorder="1" applyAlignment="1">
      <alignment horizontal="center" vertical="center"/>
    </xf>
    <xf numFmtId="1" fontId="1" fillId="5" borderId="7" xfId="1" applyNumberFormat="1" applyFont="1" applyFill="1" applyBorder="1" applyAlignment="1">
      <alignment horizontal="left" vertical="center"/>
    </xf>
    <xf numFmtId="174" fontId="1" fillId="5" borderId="14" xfId="1" applyNumberFormat="1" applyFont="1" applyFill="1" applyBorder="1" applyAlignment="1">
      <alignment horizontal="left" vertical="center"/>
    </xf>
    <xf numFmtId="0" fontId="1" fillId="0" borderId="4" xfId="1" applyNumberFormat="1" applyBorder="1" applyAlignment="1">
      <alignment horizontal="center"/>
    </xf>
    <xf numFmtId="0" fontId="1" fillId="3" borderId="0" xfId="0" quotePrefix="1" applyFont="1" applyFill="1"/>
    <xf numFmtId="180" fontId="1" fillId="0" borderId="0" xfId="2" applyNumberFormat="1" applyFont="1" applyBorder="1" applyAlignment="1">
      <alignment horizontal="center" vertical="center"/>
    </xf>
    <xf numFmtId="4" fontId="0" fillId="3" borderId="0" xfId="0" applyNumberFormat="1" applyFill="1"/>
    <xf numFmtId="2" fontId="6" fillId="16" borderId="14" xfId="1" applyNumberFormat="1" applyFont="1" applyFill="1" applyBorder="1" applyAlignment="1">
      <alignment horizontal="left" vertical="center"/>
    </xf>
    <xf numFmtId="0" fontId="2" fillId="21" borderId="4" xfId="1" applyFont="1" applyFill="1" applyBorder="1" applyAlignment="1">
      <alignment horizontal="center" vertical="center"/>
    </xf>
    <xf numFmtId="180" fontId="1" fillId="0" borderId="5" xfId="2" applyNumberFormat="1" applyFont="1" applyBorder="1" applyAlignment="1">
      <alignment horizontal="center" vertical="center"/>
    </xf>
    <xf numFmtId="180" fontId="1" fillId="0" borderId="2" xfId="2" applyNumberFormat="1" applyFont="1" applyBorder="1" applyAlignment="1">
      <alignment horizontal="center"/>
    </xf>
    <xf numFmtId="180" fontId="1" fillId="14" borderId="8" xfId="2" applyNumberFormat="1" applyFont="1" applyFill="1" applyBorder="1" applyAlignment="1">
      <alignment horizontal="center" vertical="center"/>
    </xf>
    <xf numFmtId="180" fontId="1" fillId="0" borderId="1" xfId="1" applyNumberFormat="1" applyBorder="1"/>
    <xf numFmtId="180" fontId="1" fillId="20" borderId="8" xfId="2" applyNumberFormat="1" applyFont="1" applyFill="1" applyBorder="1" applyAlignment="1">
      <alignment horizontal="center" vertical="center"/>
    </xf>
    <xf numFmtId="0" fontId="0" fillId="3" borderId="15" xfId="0" applyFill="1" applyBorder="1"/>
    <xf numFmtId="0" fontId="0" fillId="3" borderId="15" xfId="0" applyFill="1" applyBorder="1" applyAlignment="1">
      <alignment horizontal="right"/>
    </xf>
    <xf numFmtId="43" fontId="0" fillId="3" borderId="15" xfId="0" applyNumberFormat="1" applyFill="1" applyBorder="1"/>
    <xf numFmtId="0" fontId="1" fillId="3" borderId="15" xfId="0" applyFont="1" applyFill="1" applyBorder="1" applyAlignment="1">
      <alignment horizontal="right"/>
    </xf>
    <xf numFmtId="180" fontId="0" fillId="3" borderId="15" xfId="0" applyNumberFormat="1" applyFill="1" applyBorder="1"/>
    <xf numFmtId="4" fontId="0" fillId="3" borderId="15" xfId="0" applyNumberFormat="1" applyFill="1" applyBorder="1"/>
    <xf numFmtId="0" fontId="2" fillId="3" borderId="4" xfId="1" quotePrefix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1" fillId="3" borderId="0" xfId="1" applyFont="1" applyFill="1" applyBorder="1" applyAlignment="1">
      <alignment horizontal="right"/>
    </xf>
    <xf numFmtId="0" fontId="12" fillId="16" borderId="14" xfId="1" quotePrefix="1" applyFont="1" applyFill="1" applyBorder="1" applyAlignment="1">
      <alignment vertical="center"/>
    </xf>
    <xf numFmtId="174" fontId="2" fillId="7" borderId="10" xfId="1" applyNumberFormat="1" applyFont="1" applyFill="1" applyBorder="1" applyAlignment="1">
      <alignment horizontal="left" vertical="center"/>
    </xf>
    <xf numFmtId="174" fontId="2" fillId="7" borderId="3" xfId="1" applyNumberFormat="1" applyFont="1" applyFill="1" applyBorder="1" applyAlignment="1">
      <alignment horizontal="left" vertical="center"/>
    </xf>
    <xf numFmtId="0" fontId="7" fillId="15" borderId="16" xfId="0" applyFont="1" applyFill="1" applyBorder="1" applyAlignment="1">
      <alignment horizontal="center"/>
    </xf>
    <xf numFmtId="0" fontId="7" fillId="15" borderId="20" xfId="0" applyFont="1" applyFill="1" applyBorder="1" applyAlignment="1">
      <alignment horizontal="center"/>
    </xf>
    <xf numFmtId="0" fontId="7" fillId="15" borderId="17" xfId="0" applyFont="1" applyFill="1" applyBorder="1" applyAlignment="1">
      <alignment horizontal="center"/>
    </xf>
    <xf numFmtId="0" fontId="11" fillId="3" borderId="0" xfId="1" applyFont="1" applyFill="1" applyBorder="1" applyAlignment="1">
      <alignment horizontal="right"/>
    </xf>
    <xf numFmtId="0" fontId="1" fillId="0" borderId="11" xfId="1" applyBorder="1" applyAlignment="1">
      <alignment horizontal="right" vertical="center"/>
    </xf>
    <xf numFmtId="0" fontId="1" fillId="0" borderId="5" xfId="1" applyBorder="1" applyAlignment="1">
      <alignment horizontal="right" vertical="center"/>
    </xf>
    <xf numFmtId="0" fontId="1" fillId="13" borderId="8" xfId="1" applyFill="1" applyBorder="1" applyAlignment="1">
      <alignment horizontal="right" vertical="center"/>
    </xf>
    <xf numFmtId="0" fontId="1" fillId="0" borderId="12" xfId="1" applyBorder="1" applyAlignment="1">
      <alignment horizontal="right" vertical="center"/>
    </xf>
    <xf numFmtId="0" fontId="1" fillId="0" borderId="13" xfId="1" applyBorder="1" applyAlignment="1">
      <alignment horizontal="right" vertical="center"/>
    </xf>
    <xf numFmtId="0" fontId="1" fillId="14" borderId="16" xfId="1" applyFill="1" applyBorder="1" applyAlignment="1">
      <alignment horizontal="right" vertical="center"/>
    </xf>
    <xf numFmtId="0" fontId="1" fillId="14" borderId="17" xfId="1" applyFill="1" applyBorder="1" applyAlignment="1">
      <alignment horizontal="right" vertical="center"/>
    </xf>
    <xf numFmtId="0" fontId="1" fillId="20" borderId="16" xfId="1" applyFill="1" applyBorder="1" applyAlignment="1">
      <alignment horizontal="right" vertical="center"/>
    </xf>
    <xf numFmtId="0" fontId="1" fillId="20" borderId="17" xfId="1" applyFill="1" applyBorder="1" applyAlignment="1">
      <alignment horizontal="right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3" fillId="3" borderId="0" xfId="1" applyFont="1" applyFill="1" applyAlignment="1">
      <alignment horizontal="left" vertical="center"/>
    </xf>
    <xf numFmtId="0" fontId="2" fillId="4" borderId="9" xfId="1" applyFont="1" applyFill="1" applyBorder="1" applyAlignment="1">
      <alignment horizontal="center" vertical="center"/>
    </xf>
    <xf numFmtId="0" fontId="2" fillId="4" borderId="14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</cellXfs>
  <cellStyles count="3">
    <cellStyle name="Milliers" xfId="2" builtinId="3"/>
    <cellStyle name="Normal" xfId="0" builtinId="0"/>
    <cellStyle name="Normal 2" xfId="1"/>
  </cellStyles>
  <dxfs count="41"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fill>
        <patternFill patternType="lightDown">
          <bgColor rgb="FFFFFF00"/>
        </patternFill>
      </fill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418DA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D21C1C"/>
      <color rgb="FFF74365"/>
      <color rgb="FFFFFF66"/>
      <color rgb="FFF418DA"/>
      <color rgb="FFFF7171"/>
      <color rgb="FFF82C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21</xdr:row>
          <xdr:rowOff>114300</xdr:rowOff>
        </xdr:from>
        <xdr:to>
          <xdr:col>0</xdr:col>
          <xdr:colOff>1276350</xdr:colOff>
          <xdr:row>23</xdr:row>
          <xdr:rowOff>66675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 &amp; TVA facturé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333375</xdr:colOff>
          <xdr:row>15</xdr:row>
          <xdr:rowOff>200025</xdr:rowOff>
        </xdr:from>
        <xdr:to>
          <xdr:col>0</xdr:col>
          <xdr:colOff>981075</xdr:colOff>
          <xdr:row>17</xdr:row>
          <xdr:rowOff>28575</xdr:rowOff>
        </xdr:to>
        <xdr:sp macro="" textlink="">
          <xdr:nvSpPr>
            <xdr:cNvPr id="36867" name="Button 3" hidden="1">
              <a:extLst>
                <a:ext uri="{63B3BB69-23CF-44E3-9099-C40C66FF867C}">
                  <a14:compatExt spid="_x0000_s36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24</xdr:row>
          <xdr:rowOff>47625</xdr:rowOff>
        </xdr:from>
        <xdr:to>
          <xdr:col>0</xdr:col>
          <xdr:colOff>1276350</xdr:colOff>
          <xdr:row>26</xdr:row>
          <xdr:rowOff>76200</xdr:rowOff>
        </xdr:to>
        <xdr:sp macro="" textlink="">
          <xdr:nvSpPr>
            <xdr:cNvPr id="36868" name="Button 4" hidden="1">
              <a:extLst>
                <a:ext uri="{63B3BB69-23CF-44E3-9099-C40C66FF867C}">
                  <a14:compatExt spid="_x0000_s36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CRA Mensuel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876300</xdr:colOff>
          <xdr:row>9</xdr:row>
          <xdr:rowOff>19050</xdr:rowOff>
        </xdr:from>
        <xdr:to>
          <xdr:col>1</xdr:col>
          <xdr:colOff>1219200</xdr:colOff>
          <xdr:row>9</xdr:row>
          <xdr:rowOff>219075</xdr:rowOff>
        </xdr:to>
        <xdr:sp macro="" textlink="">
          <xdr:nvSpPr>
            <xdr:cNvPr id="36869" name="Button 5" hidden="1">
              <a:extLst>
                <a:ext uri="{63B3BB69-23CF-44E3-9099-C40C66FF867C}">
                  <a14:compatExt spid="_x0000_s36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4=&gt;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5af03e1ae8e8c92/Documents/01%20-%20CRA/Indicateurs_ED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2011425/Documents/02%20-%20CRA%20Exercices%20Cl&#244;tur&#233;s/Facturation%20-%20CRA%20-%20201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nnees/x2011425/Mes%20documents/02%20-%20CRA%20Exercices%20Cl&#244;tur&#233;s/Facturation%20-%20CRA%20-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"/>
      <sheetName val="Menu"/>
      <sheetName val="Calcul"/>
      <sheetName val="Volumetrie"/>
      <sheetName val="Tableaux"/>
      <sheetName val="Extract Diu"/>
      <sheetName val="Extract Arch+dri"/>
      <sheetName val="Extract Dim"/>
      <sheetName val="Extract OS400"/>
      <sheetName val="DRI closes"/>
      <sheetName val="Data"/>
      <sheetName val="Historic"/>
      <sheetName val="Tab_Resp"/>
      <sheetName val="Tab_F-O"/>
      <sheetName val="Parms"/>
      <sheetName val="Calendri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C3">
            <v>38718</v>
          </cell>
        </row>
        <row r="4">
          <cell r="C4">
            <v>38824</v>
          </cell>
        </row>
        <row r="5">
          <cell r="C5">
            <v>38838</v>
          </cell>
        </row>
        <row r="6">
          <cell r="C6">
            <v>38845</v>
          </cell>
        </row>
        <row r="7">
          <cell r="C7">
            <v>38862</v>
          </cell>
        </row>
        <row r="8">
          <cell r="C8">
            <v>38872</v>
          </cell>
        </row>
        <row r="9">
          <cell r="C9">
            <v>38912</v>
          </cell>
        </row>
        <row r="10">
          <cell r="C10">
            <v>38944</v>
          </cell>
        </row>
        <row r="11">
          <cell r="C11">
            <v>39022</v>
          </cell>
        </row>
        <row r="12">
          <cell r="C12">
            <v>39032</v>
          </cell>
        </row>
      </sheetData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1" tint="0.249977111117893"/>
  </sheetPr>
  <dimension ref="A1:W55"/>
  <sheetViews>
    <sheetView zoomScaleNormal="100" workbookViewId="0">
      <selection activeCell="C23" sqref="C23"/>
    </sheetView>
  </sheetViews>
  <sheetFormatPr baseColWidth="10" defaultColWidth="11.42578125" defaultRowHeight="12.75" x14ac:dyDescent="0.2"/>
  <cols>
    <col min="1" max="1" width="24.42578125" style="22" bestFit="1" customWidth="1"/>
    <col min="2" max="2" width="33.42578125" style="22" bestFit="1" customWidth="1"/>
    <col min="3" max="3" width="14.85546875" style="22" bestFit="1" customWidth="1"/>
    <col min="4" max="4" width="13.140625" style="22" bestFit="1" customWidth="1"/>
    <col min="5" max="7" width="10.42578125" style="22" bestFit="1" customWidth="1"/>
    <col min="8" max="8" width="11.42578125" style="22" bestFit="1" customWidth="1"/>
    <col min="9" max="11" width="10.42578125" style="22" bestFit="1" customWidth="1"/>
    <col min="12" max="12" width="18.28515625" style="22" bestFit="1" customWidth="1"/>
    <col min="13" max="14" width="11.7109375" style="22" bestFit="1" customWidth="1"/>
    <col min="15" max="16384" width="11.42578125" style="22"/>
  </cols>
  <sheetData>
    <row r="1" spans="1:8" ht="13.5" thickBot="1" x14ac:dyDescent="0.25">
      <c r="B1" s="100" t="s">
        <v>0</v>
      </c>
      <c r="F1" s="105"/>
      <c r="G1" s="106"/>
      <c r="H1" s="107"/>
    </row>
    <row r="2" spans="1:8" ht="13.5" thickBot="1" x14ac:dyDescent="0.25">
      <c r="A2" s="66" t="s">
        <v>1</v>
      </c>
      <c r="B2" s="53"/>
      <c r="D2" s="43"/>
      <c r="F2" s="105"/>
      <c r="G2" s="106"/>
      <c r="H2" s="107"/>
    </row>
    <row r="3" spans="1:8" x14ac:dyDescent="0.2">
      <c r="A3" s="67" t="s">
        <v>2</v>
      </c>
      <c r="B3" s="54"/>
      <c r="D3" s="43"/>
      <c r="F3" s="33"/>
      <c r="G3" s="33"/>
      <c r="H3" s="33"/>
    </row>
    <row r="4" spans="1:8" x14ac:dyDescent="0.2">
      <c r="A4" s="67" t="s">
        <v>3</v>
      </c>
      <c r="B4" s="54"/>
      <c r="D4" s="108"/>
      <c r="E4" s="108"/>
      <c r="F4" s="37"/>
      <c r="G4" s="37"/>
      <c r="H4" s="37"/>
    </row>
    <row r="5" spans="1:8" x14ac:dyDescent="0.2">
      <c r="A5" s="67" t="s">
        <v>4</v>
      </c>
      <c r="B5" s="54"/>
      <c r="D5" s="108"/>
      <c r="E5" s="108"/>
      <c r="F5" s="21"/>
      <c r="G5" s="21"/>
      <c r="H5" s="21"/>
    </row>
    <row r="6" spans="1:8" x14ac:dyDescent="0.2">
      <c r="A6" s="68" t="s">
        <v>5</v>
      </c>
      <c r="B6" s="102"/>
      <c r="D6" s="101"/>
      <c r="E6" s="101"/>
      <c r="F6" s="82"/>
      <c r="G6" s="82"/>
      <c r="H6" s="82"/>
    </row>
    <row r="7" spans="1:8" x14ac:dyDescent="0.2">
      <c r="A7" s="68" t="s">
        <v>6</v>
      </c>
      <c r="B7" s="55"/>
      <c r="D7" s="2"/>
      <c r="E7" s="2"/>
      <c r="F7" s="82"/>
      <c r="G7" s="82"/>
      <c r="H7" s="82"/>
    </row>
    <row r="8" spans="1:8" ht="13.5" thickBot="1" x14ac:dyDescent="0.25">
      <c r="A8" s="67" t="s">
        <v>7</v>
      </c>
      <c r="B8" s="56"/>
      <c r="D8" s="109"/>
      <c r="E8" s="110"/>
      <c r="F8" s="88"/>
      <c r="G8" s="88"/>
      <c r="H8" s="88"/>
    </row>
    <row r="9" spans="1:8" ht="13.5" thickBot="1" x14ac:dyDescent="0.25">
      <c r="A9" s="67" t="s">
        <v>8</v>
      </c>
      <c r="B9" s="57">
        <v>0</v>
      </c>
      <c r="D9" s="111"/>
      <c r="E9" s="111"/>
      <c r="F9" s="69"/>
      <c r="G9" s="69"/>
      <c r="H9" s="69"/>
    </row>
    <row r="10" spans="1:8" x14ac:dyDescent="0.2">
      <c r="A10" s="67" t="s">
        <v>9</v>
      </c>
      <c r="B10" s="58">
        <v>251</v>
      </c>
      <c r="D10" s="1"/>
      <c r="E10" s="1"/>
      <c r="F10" s="89"/>
      <c r="G10" s="89"/>
      <c r="H10" s="89"/>
    </row>
    <row r="11" spans="1:8" ht="13.5" thickBot="1" x14ac:dyDescent="0.25">
      <c r="A11" s="67" t="s">
        <v>10</v>
      </c>
      <c r="B11" s="59">
        <f>B9+B10</f>
        <v>251</v>
      </c>
      <c r="D11" s="112"/>
      <c r="E11" s="113"/>
      <c r="F11" s="70"/>
      <c r="G11" s="70"/>
      <c r="H11" s="70"/>
    </row>
    <row r="12" spans="1:8" ht="13.5" thickBot="1" x14ac:dyDescent="0.25">
      <c r="A12" s="67" t="s">
        <v>11</v>
      </c>
      <c r="B12" s="86"/>
      <c r="D12" s="114"/>
      <c r="E12" s="115"/>
      <c r="F12" s="90"/>
      <c r="G12" s="90"/>
      <c r="H12" s="90"/>
    </row>
    <row r="13" spans="1:8" x14ac:dyDescent="0.2">
      <c r="A13" s="67" t="str">
        <f>"TJM "&amp;B2</f>
        <v xml:space="preserve">TJM </v>
      </c>
      <c r="B13" s="60"/>
      <c r="D13" s="1"/>
      <c r="E13" s="1"/>
      <c r="F13" s="91"/>
      <c r="G13" s="91"/>
      <c r="H13" s="91"/>
    </row>
    <row r="14" spans="1:8" ht="13.5" thickBot="1" x14ac:dyDescent="0.25">
      <c r="A14" s="68" t="s">
        <v>12</v>
      </c>
      <c r="B14" s="61"/>
      <c r="D14" s="112"/>
      <c r="E14" s="113"/>
      <c r="F14" s="70"/>
      <c r="G14" s="70"/>
      <c r="H14" s="70"/>
    </row>
    <row r="15" spans="1:8" ht="13.5" thickBot="1" x14ac:dyDescent="0.25">
      <c r="A15" s="68" t="s">
        <v>13</v>
      </c>
      <c r="B15" s="62" t="e">
        <f>B14/B13</f>
        <v>#DIV/0!</v>
      </c>
      <c r="D15" s="116"/>
      <c r="E15" s="117"/>
      <c r="F15" s="92"/>
      <c r="G15" s="92"/>
      <c r="H15" s="92"/>
    </row>
    <row r="16" spans="1:8" x14ac:dyDescent="0.2">
      <c r="A16" s="68" t="s">
        <v>14</v>
      </c>
      <c r="B16" s="62">
        <v>0.6</v>
      </c>
      <c r="C16" s="43"/>
      <c r="D16" s="43"/>
      <c r="F16" s="43"/>
      <c r="G16" s="43"/>
    </row>
    <row r="17" spans="1:13" x14ac:dyDescent="0.2">
      <c r="A17" s="68" t="s">
        <v>15</v>
      </c>
      <c r="B17" s="63">
        <v>0.2</v>
      </c>
      <c r="C17" s="43"/>
      <c r="D17" s="43"/>
      <c r="F17" s="43"/>
      <c r="G17" s="43"/>
    </row>
    <row r="18" spans="1:13" x14ac:dyDescent="0.2">
      <c r="A18" s="68" t="s">
        <v>16</v>
      </c>
      <c r="B18" s="61">
        <v>2015</v>
      </c>
      <c r="C18" s="43"/>
      <c r="D18" s="43"/>
      <c r="F18" s="43"/>
      <c r="G18" s="43"/>
    </row>
    <row r="19" spans="1:13" x14ac:dyDescent="0.2">
      <c r="A19" s="67" t="s">
        <v>17</v>
      </c>
      <c r="B19" s="64">
        <f>FLOOR(DAY(MINUTE(B18/38)/2+56)&amp;"/5/"&amp;B18,7)-34</f>
        <v>42099</v>
      </c>
      <c r="C19" s="43"/>
      <c r="D19" s="43"/>
    </row>
    <row r="20" spans="1:13" x14ac:dyDescent="0.2">
      <c r="A20" s="68" t="s">
        <v>18</v>
      </c>
      <c r="B20" s="65"/>
      <c r="C20" s="43"/>
      <c r="D20" s="43"/>
    </row>
    <row r="21" spans="1:13" x14ac:dyDescent="0.2">
      <c r="A21" s="68" t="s">
        <v>19</v>
      </c>
      <c r="B21" s="65"/>
      <c r="C21" s="43"/>
      <c r="D21" s="43"/>
    </row>
    <row r="22" spans="1:13" x14ac:dyDescent="0.2">
      <c r="A22" s="68" t="s">
        <v>20</v>
      </c>
      <c r="B22" s="65"/>
      <c r="C22" s="43"/>
      <c r="D22" s="43"/>
      <c r="F22" s="83"/>
    </row>
    <row r="23" spans="1:13" x14ac:dyDescent="0.2">
      <c r="A23" s="68" t="s">
        <v>21</v>
      </c>
      <c r="B23" s="81">
        <f ca="1">TODAY()+B24</f>
        <v>42143</v>
      </c>
      <c r="C23" s="43"/>
      <c r="D23" s="43"/>
    </row>
    <row r="24" spans="1:13" x14ac:dyDescent="0.2">
      <c r="A24" s="68" t="s">
        <v>22</v>
      </c>
      <c r="B24" s="80">
        <v>0</v>
      </c>
      <c r="C24" s="43"/>
      <c r="D24" s="43"/>
    </row>
    <row r="27" spans="1:13" x14ac:dyDescent="0.2">
      <c r="A27" s="13" t="s">
        <v>16</v>
      </c>
      <c r="B27" s="34">
        <f t="shared" ref="B27:M27" si="0">$B18</f>
        <v>2015</v>
      </c>
      <c r="C27" s="34">
        <f t="shared" si="0"/>
        <v>2015</v>
      </c>
      <c r="D27" s="34">
        <f t="shared" si="0"/>
        <v>2015</v>
      </c>
      <c r="E27" s="34">
        <f t="shared" si="0"/>
        <v>2015</v>
      </c>
      <c r="F27" s="34">
        <f t="shared" si="0"/>
        <v>2015</v>
      </c>
      <c r="G27" s="34">
        <f t="shared" si="0"/>
        <v>2015</v>
      </c>
      <c r="H27" s="34">
        <f t="shared" si="0"/>
        <v>2015</v>
      </c>
      <c r="I27" s="34">
        <f t="shared" si="0"/>
        <v>2015</v>
      </c>
      <c r="J27" s="34">
        <f t="shared" si="0"/>
        <v>2015</v>
      </c>
      <c r="K27" s="34">
        <f t="shared" si="0"/>
        <v>2015</v>
      </c>
      <c r="L27" s="34">
        <f t="shared" si="0"/>
        <v>2015</v>
      </c>
      <c r="M27" s="34">
        <f t="shared" si="0"/>
        <v>2015</v>
      </c>
    </row>
    <row r="28" spans="1:13" x14ac:dyDescent="0.2">
      <c r="A28" s="13" t="s">
        <v>23</v>
      </c>
      <c r="B28" s="35">
        <f>DATE($B$18,1,1)</f>
        <v>42005</v>
      </c>
      <c r="C28" s="35">
        <f>DATE($B$18,2,1)</f>
        <v>42036</v>
      </c>
      <c r="D28" s="35">
        <f>DATE($B$18,3,1)</f>
        <v>42064</v>
      </c>
      <c r="E28" s="35">
        <f>DATE($B$18,4,1)</f>
        <v>42095</v>
      </c>
      <c r="F28" s="35">
        <f>DATE($B$18,5,1)</f>
        <v>42125</v>
      </c>
      <c r="G28" s="35">
        <f>DATE($B$18,6,1)</f>
        <v>42156</v>
      </c>
      <c r="H28" s="35">
        <f>DATE($B$18,7,1)</f>
        <v>42186</v>
      </c>
      <c r="I28" s="35">
        <f>DATE($B$18,8,1)</f>
        <v>42217</v>
      </c>
      <c r="J28" s="35">
        <f>DATE($B$18,9,1)</f>
        <v>42248</v>
      </c>
      <c r="K28" s="35">
        <f>DATE($B$18,10,1)</f>
        <v>42278</v>
      </c>
      <c r="L28" s="35">
        <f>DATE($B$18,11,1)</f>
        <v>42309</v>
      </c>
      <c r="M28" s="35">
        <f>DATE($B$18,12,1)</f>
        <v>42339</v>
      </c>
    </row>
    <row r="29" spans="1:13" x14ac:dyDescent="0.2">
      <c r="A29" s="13" t="s">
        <v>24</v>
      </c>
      <c r="B29" s="36">
        <f>EOMONTH(B28,0)-(EOMONTH(B28,-1))</f>
        <v>31</v>
      </c>
      <c r="C29" s="36">
        <f t="shared" ref="C29:M29" si="1">DAY(DATE($B18,MONTH(C28)+1,1)-1)</f>
        <v>28</v>
      </c>
      <c r="D29" s="36">
        <f t="shared" si="1"/>
        <v>31</v>
      </c>
      <c r="E29" s="36">
        <f t="shared" si="1"/>
        <v>30</v>
      </c>
      <c r="F29" s="36">
        <f t="shared" si="1"/>
        <v>31</v>
      </c>
      <c r="G29" s="36">
        <f t="shared" si="1"/>
        <v>30</v>
      </c>
      <c r="H29" s="36">
        <f t="shared" si="1"/>
        <v>31</v>
      </c>
      <c r="I29" s="36">
        <f t="shared" si="1"/>
        <v>31</v>
      </c>
      <c r="J29" s="36">
        <f t="shared" si="1"/>
        <v>30</v>
      </c>
      <c r="K29" s="36">
        <f t="shared" si="1"/>
        <v>31</v>
      </c>
      <c r="L29" s="36">
        <f t="shared" si="1"/>
        <v>30</v>
      </c>
      <c r="M29" s="36">
        <f t="shared" si="1"/>
        <v>31</v>
      </c>
    </row>
    <row r="30" spans="1:13" x14ac:dyDescent="0.2">
      <c r="A30" s="13" t="s">
        <v>25</v>
      </c>
      <c r="B30" s="26" t="s">
        <v>26</v>
      </c>
      <c r="C30" s="26" t="s">
        <v>27</v>
      </c>
      <c r="D30" s="27" t="s">
        <v>28</v>
      </c>
      <c r="E30" s="27" t="s">
        <v>29</v>
      </c>
      <c r="F30" s="27" t="s">
        <v>30</v>
      </c>
      <c r="G30" s="28" t="s">
        <v>31</v>
      </c>
      <c r="H30" s="27" t="s">
        <v>32</v>
      </c>
      <c r="I30" s="27" t="s">
        <v>33</v>
      </c>
      <c r="J30" s="27" t="s">
        <v>34</v>
      </c>
      <c r="K30" s="27" t="s">
        <v>35</v>
      </c>
      <c r="L30" s="31" t="s">
        <v>36</v>
      </c>
      <c r="M30" s="29"/>
    </row>
    <row r="31" spans="1:13" x14ac:dyDescent="0.2">
      <c r="A31" s="13" t="s">
        <v>37</v>
      </c>
      <c r="B31" s="26">
        <f>DATE(B18,1,1)</f>
        <v>42005</v>
      </c>
      <c r="C31" s="26">
        <f>B19+1</f>
        <v>42100</v>
      </c>
      <c r="D31" s="26">
        <f>DATE(B18,5,1)</f>
        <v>42125</v>
      </c>
      <c r="E31" s="26">
        <f>DATE(B18,5,8)</f>
        <v>42132</v>
      </c>
      <c r="F31" s="30">
        <f>B19+39</f>
        <v>42138</v>
      </c>
      <c r="G31" s="30">
        <f>DATE(B18,7,14)</f>
        <v>42199</v>
      </c>
      <c r="H31" s="30">
        <f>DATE(B18,8,15)</f>
        <v>42231</v>
      </c>
      <c r="I31" s="30">
        <f>DATE(B18,11,1)</f>
        <v>42309</v>
      </c>
      <c r="J31" s="30">
        <f>DATE(B18,11,11)</f>
        <v>42319</v>
      </c>
      <c r="K31" s="30">
        <f>DATE(B18,12,25)</f>
        <v>42363</v>
      </c>
      <c r="L31" s="32">
        <f>B19+50</f>
        <v>42149</v>
      </c>
      <c r="M31" s="29"/>
    </row>
    <row r="32" spans="1:13" x14ac:dyDescent="0.2">
      <c r="A32" s="50" t="s">
        <v>38</v>
      </c>
      <c r="B32" s="51">
        <f>NETWORKDAYS(DATE($B$18,MONTH(B$28),1),DATE($B$18,MONTH(B$28),B$29),$B31:$M31)</f>
        <v>21</v>
      </c>
      <c r="C32" s="51">
        <f t="shared" ref="C32:M32" si="2">NETWORKDAYS(DATE($B$18,MONTH(C$28),1),DATE($B$18,MONTH(C$28),C$29),$B31:$M31)</f>
        <v>20</v>
      </c>
      <c r="D32" s="51">
        <f t="shared" si="2"/>
        <v>22</v>
      </c>
      <c r="E32" s="51">
        <f t="shared" si="2"/>
        <v>21</v>
      </c>
      <c r="F32" s="51">
        <f t="shared" si="2"/>
        <v>17</v>
      </c>
      <c r="G32" s="51">
        <f>NETWORKDAYS(DATE($B$18,MONTH(G$28),1),DATE($B$18,MONTH(G$28),G$29),$B31:$M31)+1</f>
        <v>23</v>
      </c>
      <c r="H32" s="51">
        <f t="shared" si="2"/>
        <v>22</v>
      </c>
      <c r="I32" s="51">
        <f t="shared" si="2"/>
        <v>21</v>
      </c>
      <c r="J32" s="51">
        <f t="shared" si="2"/>
        <v>22</v>
      </c>
      <c r="K32" s="51">
        <f t="shared" si="2"/>
        <v>22</v>
      </c>
      <c r="L32" s="51">
        <f t="shared" si="2"/>
        <v>20</v>
      </c>
      <c r="M32" s="51">
        <f t="shared" si="2"/>
        <v>22</v>
      </c>
    </row>
    <row r="34" spans="1:14" x14ac:dyDescent="0.2">
      <c r="A34" s="119" t="s">
        <v>16</v>
      </c>
      <c r="B34" s="39">
        <f>YEAR(DATE(2012,1,1))</f>
        <v>2012</v>
      </c>
      <c r="D34" s="118" t="s">
        <v>39</v>
      </c>
      <c r="E34" s="45">
        <v>0</v>
      </c>
      <c r="G34" s="118" t="s">
        <v>15</v>
      </c>
      <c r="H34" s="40">
        <v>0.19600000000000001</v>
      </c>
      <c r="I34" s="42">
        <v>0.16389999999999999</v>
      </c>
      <c r="L34" s="121" t="s">
        <v>40</v>
      </c>
      <c r="M34" s="41"/>
    </row>
    <row r="35" spans="1:14" x14ac:dyDescent="0.2">
      <c r="A35" s="120"/>
      <c r="B35" s="39">
        <f>YEAR(DATE(B34+1,1,1))</f>
        <v>2013</v>
      </c>
      <c r="D35" s="118"/>
      <c r="E35" s="45">
        <v>0.05</v>
      </c>
      <c r="G35" s="118"/>
      <c r="H35" s="40">
        <v>7.0000000000000007E-2</v>
      </c>
      <c r="I35" s="41">
        <v>6.54E-2</v>
      </c>
      <c r="L35" s="121"/>
      <c r="M35" s="41" t="s">
        <v>41</v>
      </c>
    </row>
    <row r="36" spans="1:14" x14ac:dyDescent="0.2">
      <c r="A36" s="120"/>
      <c r="B36" s="39">
        <f t="shared" ref="B36:B49" si="3">YEAR(DATE(B35+1,1,1))</f>
        <v>2014</v>
      </c>
      <c r="D36" s="118"/>
      <c r="E36" s="45">
        <v>0.1</v>
      </c>
      <c r="G36" s="118"/>
      <c r="H36" s="40">
        <v>5.5E-2</v>
      </c>
      <c r="I36" s="42">
        <v>5.2200000000000003E-2</v>
      </c>
      <c r="L36" s="121"/>
      <c r="M36" s="41" t="s">
        <v>42</v>
      </c>
    </row>
    <row r="37" spans="1:14" x14ac:dyDescent="0.2">
      <c r="A37" s="120"/>
      <c r="B37" s="39">
        <f t="shared" si="3"/>
        <v>2015</v>
      </c>
      <c r="D37" s="118"/>
      <c r="E37" s="45">
        <v>0.15</v>
      </c>
      <c r="L37" s="121"/>
      <c r="M37" s="41" t="s">
        <v>43</v>
      </c>
    </row>
    <row r="38" spans="1:14" ht="12.6" customHeight="1" x14ac:dyDescent="0.2">
      <c r="A38" s="120"/>
      <c r="B38" s="39">
        <f t="shared" si="3"/>
        <v>2016</v>
      </c>
      <c r="D38" s="118"/>
      <c r="E38" s="45">
        <v>0.2</v>
      </c>
      <c r="F38" s="23"/>
      <c r="H38" s="122" t="s">
        <v>44</v>
      </c>
      <c r="I38" s="41">
        <v>-120</v>
      </c>
    </row>
    <row r="39" spans="1:14" ht="12.6" customHeight="1" x14ac:dyDescent="0.2">
      <c r="A39" s="120"/>
      <c r="B39" s="39">
        <f t="shared" si="3"/>
        <v>2017</v>
      </c>
      <c r="D39" s="118"/>
      <c r="E39" s="45">
        <v>0.25</v>
      </c>
      <c r="F39" s="24"/>
      <c r="G39" s="25"/>
      <c r="H39" s="123"/>
      <c r="I39" s="41">
        <v>-90</v>
      </c>
      <c r="L39" s="93"/>
      <c r="M39" s="93"/>
      <c r="N39" s="93"/>
    </row>
    <row r="40" spans="1:14" ht="12.6" customHeight="1" x14ac:dyDescent="0.2">
      <c r="A40" s="120"/>
      <c r="B40" s="39">
        <f t="shared" si="3"/>
        <v>2018</v>
      </c>
      <c r="D40" s="118"/>
      <c r="E40" s="45">
        <v>0.3</v>
      </c>
      <c r="H40" s="123"/>
      <c r="I40" s="41">
        <v>-60</v>
      </c>
      <c r="L40" s="94"/>
      <c r="M40" s="95"/>
      <c r="N40" s="95"/>
    </row>
    <row r="41" spans="1:14" ht="12.6" customHeight="1" x14ac:dyDescent="0.2">
      <c r="A41" s="120"/>
      <c r="B41" s="39">
        <f t="shared" si="3"/>
        <v>2019</v>
      </c>
      <c r="D41" s="118"/>
      <c r="E41" s="45">
        <v>0.35</v>
      </c>
      <c r="H41" s="123"/>
      <c r="I41" s="41">
        <v>-30</v>
      </c>
      <c r="L41" s="94"/>
      <c r="M41" s="95"/>
      <c r="N41" s="95"/>
    </row>
    <row r="42" spans="1:14" ht="12.6" customHeight="1" x14ac:dyDescent="0.2">
      <c r="A42" s="121"/>
      <c r="B42" s="39">
        <f t="shared" si="3"/>
        <v>2020</v>
      </c>
      <c r="C42" s="25"/>
      <c r="D42" s="118"/>
      <c r="E42" s="45">
        <v>0.45</v>
      </c>
      <c r="H42" s="123"/>
      <c r="I42" s="41">
        <v>0</v>
      </c>
      <c r="L42" s="94"/>
      <c r="M42" s="95"/>
      <c r="N42" s="95"/>
    </row>
    <row r="43" spans="1:14" ht="12.6" customHeight="1" x14ac:dyDescent="0.2">
      <c r="A43" s="120"/>
      <c r="B43" s="39">
        <f t="shared" si="3"/>
        <v>2021</v>
      </c>
      <c r="D43" s="118"/>
      <c r="E43" s="45">
        <v>0.5</v>
      </c>
      <c r="H43" s="123"/>
      <c r="I43" s="41">
        <v>30</v>
      </c>
      <c r="L43" s="94"/>
      <c r="M43" s="95"/>
      <c r="N43" s="95"/>
    </row>
    <row r="44" spans="1:14" ht="12.6" customHeight="1" x14ac:dyDescent="0.2">
      <c r="A44" s="120"/>
      <c r="B44" s="39">
        <f t="shared" si="3"/>
        <v>2022</v>
      </c>
      <c r="D44" s="118"/>
      <c r="E44" s="45">
        <v>0.55000000000000004</v>
      </c>
      <c r="H44" s="123"/>
      <c r="I44" s="41">
        <v>60</v>
      </c>
      <c r="L44" s="94"/>
      <c r="M44" s="95"/>
      <c r="N44" s="95"/>
    </row>
    <row r="45" spans="1:14" ht="12.6" customHeight="1" x14ac:dyDescent="0.2">
      <c r="A45" s="120"/>
      <c r="B45" s="39">
        <f t="shared" si="3"/>
        <v>2023</v>
      </c>
      <c r="D45" s="118"/>
      <c r="E45" s="45">
        <v>0.6</v>
      </c>
      <c r="H45" s="123"/>
      <c r="I45" s="41">
        <v>90</v>
      </c>
      <c r="L45" s="94"/>
      <c r="M45" s="95"/>
      <c r="N45" s="95"/>
    </row>
    <row r="46" spans="1:14" ht="12.6" customHeight="1" x14ac:dyDescent="0.2">
      <c r="A46" s="120"/>
      <c r="B46" s="39">
        <f t="shared" si="3"/>
        <v>2024</v>
      </c>
      <c r="D46" s="118"/>
      <c r="E46" s="45">
        <v>0.65</v>
      </c>
      <c r="H46" s="123"/>
      <c r="I46" s="41">
        <v>120</v>
      </c>
      <c r="L46" s="94"/>
      <c r="M46" s="95"/>
      <c r="N46" s="95"/>
    </row>
    <row r="47" spans="1:14" ht="12.6" customHeight="1" x14ac:dyDescent="0.2">
      <c r="A47" s="120"/>
      <c r="B47" s="39">
        <f t="shared" si="3"/>
        <v>2025</v>
      </c>
      <c r="H47" s="124"/>
      <c r="I47" s="41">
        <v>150</v>
      </c>
      <c r="L47" s="94"/>
      <c r="M47" s="95"/>
      <c r="N47" s="95"/>
    </row>
    <row r="48" spans="1:14" x14ac:dyDescent="0.2">
      <c r="A48" s="120"/>
      <c r="B48" s="39">
        <f t="shared" si="3"/>
        <v>2026</v>
      </c>
      <c r="L48" s="94"/>
      <c r="M48" s="95"/>
      <c r="N48" s="95"/>
    </row>
    <row r="49" spans="1:23" x14ac:dyDescent="0.2">
      <c r="A49" s="120"/>
      <c r="B49" s="39">
        <f t="shared" si="3"/>
        <v>2027</v>
      </c>
      <c r="L49" s="94"/>
      <c r="M49" s="95"/>
      <c r="N49" s="95"/>
    </row>
    <row r="50" spans="1:23" x14ac:dyDescent="0.2">
      <c r="A50" s="120"/>
      <c r="B50" s="44"/>
      <c r="C50" s="52"/>
      <c r="D50" s="52"/>
      <c r="E50" s="52"/>
      <c r="F50" s="52"/>
      <c r="G50" s="52"/>
      <c r="H50" s="52"/>
      <c r="I50" s="52"/>
      <c r="J50" s="52"/>
      <c r="K50" s="52"/>
      <c r="L50" s="94"/>
      <c r="M50" s="95"/>
      <c r="N50" s="95"/>
    </row>
    <row r="51" spans="1:23" x14ac:dyDescent="0.2">
      <c r="A51" s="120"/>
      <c r="B51" s="44"/>
      <c r="L51" s="94"/>
      <c r="M51" s="95"/>
      <c r="N51" s="95"/>
    </row>
    <row r="52" spans="1:23" x14ac:dyDescent="0.2">
      <c r="L52" s="96"/>
      <c r="M52" s="97"/>
      <c r="N52" s="97"/>
    </row>
    <row r="53" spans="1:23" x14ac:dyDescent="0.2">
      <c r="L53" s="93"/>
      <c r="M53" s="93"/>
      <c r="N53" s="93"/>
    </row>
    <row r="54" spans="1:23" x14ac:dyDescent="0.2">
      <c r="L54" s="93"/>
      <c r="M54" s="93"/>
      <c r="N54" s="93"/>
      <c r="T54" s="84"/>
      <c r="U54" s="84"/>
      <c r="V54" s="84"/>
      <c r="W54" s="84"/>
    </row>
    <row r="55" spans="1:23" x14ac:dyDescent="0.2">
      <c r="I55" s="85"/>
      <c r="J55" s="85"/>
      <c r="K55" s="85"/>
      <c r="L55" s="98"/>
      <c r="M55" s="98"/>
      <c r="N55" s="98"/>
      <c r="O55" s="85"/>
    </row>
  </sheetData>
  <mergeCells count="15">
    <mergeCell ref="D34:D46"/>
    <mergeCell ref="G34:G36"/>
    <mergeCell ref="A34:A51"/>
    <mergeCell ref="H38:H47"/>
    <mergeCell ref="L34:L37"/>
    <mergeCell ref="D9:E9"/>
    <mergeCell ref="D11:E11"/>
    <mergeCell ref="D12:E12"/>
    <mergeCell ref="D14:E14"/>
    <mergeCell ref="D15:E15"/>
    <mergeCell ref="F1:H1"/>
    <mergeCell ref="F2:H2"/>
    <mergeCell ref="D4:E4"/>
    <mergeCell ref="D5:E5"/>
    <mergeCell ref="D8:E8"/>
  </mergeCells>
  <conditionalFormatting sqref="F6:H7">
    <cfRule type="containsText" dxfId="40" priority="6" operator="containsText" text="Oui">
      <formula>NOT(ISERROR(SEARCH("Oui",F6)))</formula>
    </cfRule>
  </conditionalFormatting>
  <conditionalFormatting sqref="F6:H7">
    <cfRule type="containsText" dxfId="39" priority="4" operator="containsText" text="Non">
      <formula>NOT(ISERROR(SEARCH("Non",F6)))</formula>
    </cfRule>
    <cfRule type="containsText" dxfId="38" priority="5" operator="containsText" text="Oui">
      <formula>NOT(ISERROR(SEARCH("Oui",F6)))</formula>
    </cfRule>
  </conditionalFormatting>
  <conditionalFormatting sqref="F6:H7">
    <cfRule type="containsText" dxfId="37" priority="2" operator="containsText" text="Non">
      <formula>NOT(ISERROR(SEARCH("Non",F6)))</formula>
    </cfRule>
    <cfRule type="containsText" dxfId="36" priority="3" operator="containsText" text="Oui">
      <formula>NOT(ISERROR(SEARCH("Oui",F6)))</formula>
    </cfRule>
  </conditionalFormatting>
  <dataValidations xWindow="732" yWindow="454" count="4">
    <dataValidation type="list" allowBlank="1" showInputMessage="1" showErrorMessage="1" promptTitle="Année d'activité" prompt="Sélectionnez l'année de référence" sqref="B18:D18">
      <formula1>$B$34:$B$49</formula1>
    </dataValidation>
    <dataValidation type="list" allowBlank="1" showInputMessage="1" showErrorMessage="1" promptTitle="Provisions pour charge" prompt="Selectionnez le Taux" sqref="D16">
      <formula1>$E$40:$E$44</formula1>
    </dataValidation>
    <dataValidation allowBlank="1" showInputMessage="1" showErrorMessage="1" promptTitle="Provisions pour charge" prompt="Selectionnez le Taux" sqref="B16:C16"/>
    <dataValidation type="list" allowBlank="1" showInputMessage="1" showErrorMessage="1" sqref="B24">
      <formula1>$I$38:$I$47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74A68884-99B7-4D0E-97EA-20073550FBE0}">
            <xm:f>TEXT(T$9,"mmmm")=TEXT('\Users\X2011425\Documents\02 - CRA Exercices Clôturés\[Facturation - CRA - 2013.xlsx]Matrice'!#REF!,"mmmm")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T54:W54</xm:sqref>
        </x14:conditionalFormatting>
        <x14:conditionalFormatting xmlns:xm="http://schemas.microsoft.com/office/excel/2006/main">
          <x14:cfRule type="expression" priority="1" id="{7E7468FC-BA08-4902-BE5F-4975661DD1D3}">
            <xm:f>TEXT(F$9,"mmmm")=TEXT('\Donnees\x2011425\Mes documents\02 - CRA Exercices Clôturés\[Facturation - CRA - 2014.xlsx]Matrice'!#REF!,"mmmm")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F3:H3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00B050"/>
    <pageSetUpPr fitToPage="1"/>
  </sheetPr>
  <dimension ref="A1:AL23"/>
  <sheetViews>
    <sheetView showGridLines="0" tabSelected="1" topLeftCell="A2" zoomScale="90" zoomScaleNormal="90" zoomScaleSheetLayoutView="100" workbookViewId="0">
      <pane xSplit="6" ySplit="8" topLeftCell="G10" activePane="bottomRight" state="frozen"/>
      <selection activeCell="A2" sqref="A2"/>
      <selection pane="topRight" activeCell="G2" sqref="G2"/>
      <selection pane="bottomLeft" activeCell="A10" sqref="A10"/>
      <selection pane="bottomRight" activeCell="S37" sqref="S37"/>
    </sheetView>
  </sheetViews>
  <sheetFormatPr baseColWidth="10" defaultColWidth="20.5703125" defaultRowHeight="12.75" outlineLevelRow="1" outlineLevelCol="1" x14ac:dyDescent="0.2"/>
  <cols>
    <col min="1" max="1" width="19.85546875" style="3" bestFit="1" customWidth="1"/>
    <col min="2" max="2" width="19.42578125" style="3" customWidth="1"/>
    <col min="3" max="3" width="8.28515625" style="3" hidden="1" customWidth="1" outlineLevel="1"/>
    <col min="4" max="4" width="8.7109375" style="3" hidden="1" customWidth="1" outlineLevel="1"/>
    <col min="5" max="5" width="7.85546875" style="3" hidden="1" customWidth="1" outlineLevel="1"/>
    <col min="6" max="6" width="8.42578125" style="3" hidden="1" customWidth="1" outlineLevel="1"/>
    <col min="7" max="7" width="4.5703125" style="3" customWidth="1" collapsed="1"/>
    <col min="8" max="37" width="4.5703125" style="3" customWidth="1"/>
    <col min="38" max="38" width="8.85546875" style="3" bestFit="1" customWidth="1"/>
    <col min="39" max="16384" width="20.5703125" style="3"/>
  </cols>
  <sheetData>
    <row r="1" spans="1:38" x14ac:dyDescent="0.2">
      <c r="A1" s="72"/>
      <c r="B1" s="72"/>
      <c r="C1" s="72"/>
    </row>
    <row r="2" spans="1:38" ht="15.75" hidden="1" outlineLevel="1" x14ac:dyDescent="0.2">
      <c r="A2" s="16" t="s">
        <v>45</v>
      </c>
      <c r="B2" s="4">
        <f>Matrice!B18</f>
        <v>2015</v>
      </c>
      <c r="C2" s="72"/>
    </row>
    <row r="3" spans="1:38" ht="15.75" hidden="1" outlineLevel="1" x14ac:dyDescent="0.2">
      <c r="A3" s="16" t="s">
        <v>46</v>
      </c>
      <c r="B3" s="4">
        <f>Matrice!B7</f>
        <v>0</v>
      </c>
      <c r="C3" s="5"/>
      <c r="D3" s="5"/>
      <c r="E3" s="5"/>
      <c r="F3" s="5"/>
      <c r="G3" s="5"/>
      <c r="H3" s="5"/>
      <c r="I3" s="5"/>
      <c r="J3" s="5"/>
      <c r="K3" s="5"/>
      <c r="L3" s="5"/>
      <c r="M3" s="9"/>
      <c r="N3" s="9"/>
      <c r="O3" s="9"/>
      <c r="P3" s="125"/>
      <c r="Q3" s="125"/>
      <c r="R3" s="125"/>
      <c r="S3" s="125"/>
      <c r="T3" s="125"/>
      <c r="U3" s="125"/>
      <c r="V3" s="12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ht="15.75" hidden="1" outlineLevel="1" x14ac:dyDescent="0.2">
      <c r="A4" s="16" t="s">
        <v>47</v>
      </c>
      <c r="B4" s="4">
        <f>Matrice!B6</f>
        <v>0</v>
      </c>
      <c r="C4" s="5"/>
      <c r="D4" s="5"/>
      <c r="E4" s="5"/>
      <c r="F4" s="5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5"/>
      <c r="AD4" s="71"/>
      <c r="AE4" s="5"/>
      <c r="AF4" s="5"/>
      <c r="AG4" s="5"/>
      <c r="AH4" s="5"/>
      <c r="AI4" s="5"/>
      <c r="AJ4" s="5"/>
      <c r="AK4" s="5"/>
      <c r="AL4" s="5"/>
    </row>
    <row r="5" spans="1:38" ht="15.75" hidden="1" outlineLevel="1" x14ac:dyDescent="0.25">
      <c r="A5" s="17" t="s">
        <v>48</v>
      </c>
      <c r="B5" s="4"/>
      <c r="C5" s="4"/>
      <c r="D5" s="4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5"/>
      <c r="AC5" s="71"/>
      <c r="AD5" s="5"/>
      <c r="AE5" s="5"/>
      <c r="AF5" s="5"/>
      <c r="AG5" s="5"/>
      <c r="AH5" s="5"/>
      <c r="AI5" s="5"/>
      <c r="AJ5" s="5"/>
      <c r="AK5" s="5"/>
      <c r="AL5" s="5"/>
    </row>
    <row r="6" spans="1:38" ht="15.75" hidden="1" outlineLevel="1" x14ac:dyDescent="0.25">
      <c r="A6" s="17" t="s">
        <v>49</v>
      </c>
      <c r="B6" s="15">
        <f>Matrice!B8</f>
        <v>0</v>
      </c>
      <c r="C6" s="6"/>
      <c r="D6" s="6"/>
      <c r="E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15" hidden="1" outlineLevel="1" x14ac:dyDescent="0.2">
      <c r="A7" s="14"/>
      <c r="B7" s="5"/>
      <c r="C7" s="5"/>
      <c r="D7" s="5"/>
      <c r="E7" s="5"/>
      <c r="F7" s="5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spans="1:38" ht="15.75" hidden="1" outlineLevel="1" x14ac:dyDescent="0.2">
      <c r="A8" s="5"/>
      <c r="B8" s="5"/>
      <c r="C8" s="5"/>
      <c r="D8" s="5"/>
      <c r="E8" s="5"/>
      <c r="F8" s="5"/>
      <c r="G8" s="5"/>
      <c r="H8" s="7"/>
      <c r="I8" s="8"/>
      <c r="J8" s="8"/>
      <c r="K8" s="7"/>
      <c r="L8" s="7"/>
      <c r="M8" s="7"/>
      <c r="N8" s="7"/>
      <c r="O8" s="5"/>
      <c r="P8" s="9"/>
      <c r="Q8" s="9"/>
      <c r="R8" s="5"/>
      <c r="S8" s="5"/>
      <c r="T8" s="5"/>
      <c r="U8" s="5"/>
      <c r="V8" s="5"/>
      <c r="W8" s="9"/>
      <c r="X8" s="9"/>
      <c r="Y8" s="9"/>
      <c r="Z8" s="5"/>
      <c r="AA8" s="5"/>
      <c r="AB8" s="5"/>
      <c r="AC8" s="5"/>
      <c r="AD8" s="9"/>
      <c r="AE8" s="9"/>
      <c r="AF8" s="5"/>
      <c r="AG8" s="5"/>
      <c r="AH8" s="5"/>
      <c r="AI8" s="5"/>
      <c r="AJ8" s="5"/>
      <c r="AK8" s="9"/>
      <c r="AL8" s="9"/>
    </row>
    <row r="9" spans="1:38" ht="32.25" customHeight="1" collapsed="1" x14ac:dyDescent="0.2">
      <c r="A9" s="5"/>
      <c r="B9" s="5"/>
      <c r="C9" s="18" t="s">
        <v>50</v>
      </c>
      <c r="D9" s="18" t="s">
        <v>51</v>
      </c>
      <c r="E9" s="18" t="s">
        <v>52</v>
      </c>
      <c r="F9" s="5"/>
      <c r="G9" s="19">
        <f>1</f>
        <v>1</v>
      </c>
      <c r="H9" s="19">
        <f>G9+1</f>
        <v>2</v>
      </c>
      <c r="I9" s="19">
        <f t="shared" ref="I9:AK9" si="0">H9+1</f>
        <v>3</v>
      </c>
      <c r="J9" s="19">
        <f t="shared" si="0"/>
        <v>4</v>
      </c>
      <c r="K9" s="19">
        <f t="shared" si="0"/>
        <v>5</v>
      </c>
      <c r="L9" s="19">
        <f t="shared" si="0"/>
        <v>6</v>
      </c>
      <c r="M9" s="19">
        <f t="shared" si="0"/>
        <v>7</v>
      </c>
      <c r="N9" s="19">
        <f t="shared" si="0"/>
        <v>8</v>
      </c>
      <c r="O9" s="19">
        <f t="shared" si="0"/>
        <v>9</v>
      </c>
      <c r="P9" s="19">
        <f t="shared" si="0"/>
        <v>10</v>
      </c>
      <c r="Q9" s="19">
        <f t="shared" si="0"/>
        <v>11</v>
      </c>
      <c r="R9" s="19">
        <f t="shared" si="0"/>
        <v>12</v>
      </c>
      <c r="S9" s="19">
        <f t="shared" si="0"/>
        <v>13</v>
      </c>
      <c r="T9" s="19">
        <f t="shared" si="0"/>
        <v>14</v>
      </c>
      <c r="U9" s="19">
        <f t="shared" si="0"/>
        <v>15</v>
      </c>
      <c r="V9" s="19">
        <f t="shared" si="0"/>
        <v>16</v>
      </c>
      <c r="W9" s="19">
        <f t="shared" si="0"/>
        <v>17</v>
      </c>
      <c r="X9" s="19">
        <f t="shared" si="0"/>
        <v>18</v>
      </c>
      <c r="Y9" s="19">
        <f t="shared" si="0"/>
        <v>19</v>
      </c>
      <c r="Z9" s="19">
        <f t="shared" si="0"/>
        <v>20</v>
      </c>
      <c r="AA9" s="19">
        <f t="shared" si="0"/>
        <v>21</v>
      </c>
      <c r="AB9" s="19">
        <f t="shared" si="0"/>
        <v>22</v>
      </c>
      <c r="AC9" s="19">
        <f t="shared" si="0"/>
        <v>23</v>
      </c>
      <c r="AD9" s="19">
        <f t="shared" si="0"/>
        <v>24</v>
      </c>
      <c r="AE9" s="19">
        <f t="shared" si="0"/>
        <v>25</v>
      </c>
      <c r="AF9" s="19">
        <f t="shared" si="0"/>
        <v>26</v>
      </c>
      <c r="AG9" s="19">
        <f t="shared" si="0"/>
        <v>27</v>
      </c>
      <c r="AH9" s="19">
        <f t="shared" si="0"/>
        <v>28</v>
      </c>
      <c r="AI9" s="19">
        <f t="shared" si="0"/>
        <v>29</v>
      </c>
      <c r="AJ9" s="19">
        <f t="shared" si="0"/>
        <v>30</v>
      </c>
      <c r="AK9" s="19">
        <f t="shared" si="0"/>
        <v>31</v>
      </c>
      <c r="AL9" s="20" t="s">
        <v>53</v>
      </c>
    </row>
    <row r="10" spans="1:38" ht="20.100000000000001" customHeight="1" x14ac:dyDescent="0.2">
      <c r="A10" s="126" t="s">
        <v>54</v>
      </c>
      <c r="B10" s="103">
        <f>DATE(Matrice!$B$18,MONTH(Matrice!B$28),Matrice!B$29)</f>
        <v>42035</v>
      </c>
      <c r="C10" s="49">
        <f>Matrice!B11</f>
        <v>251</v>
      </c>
      <c r="D10" s="49">
        <f>AL10</f>
        <v>18</v>
      </c>
      <c r="E10" s="49">
        <f>C10-D10</f>
        <v>233</v>
      </c>
      <c r="F10" s="4"/>
      <c r="G10" s="46"/>
      <c r="H10" s="46">
        <v>0</v>
      </c>
      <c r="I10" s="46"/>
      <c r="J10" s="46"/>
      <c r="K10" s="46">
        <v>4</v>
      </c>
      <c r="L10" s="46">
        <v>4</v>
      </c>
      <c r="M10" s="46">
        <v>4</v>
      </c>
      <c r="N10" s="46">
        <v>4</v>
      </c>
      <c r="O10" s="129">
        <v>4</v>
      </c>
      <c r="P10" s="46"/>
      <c r="Q10" s="46"/>
      <c r="R10" s="46">
        <v>4</v>
      </c>
      <c r="S10" s="46">
        <v>4</v>
      </c>
      <c r="T10" s="46">
        <v>4</v>
      </c>
      <c r="U10" s="46">
        <v>4</v>
      </c>
      <c r="V10" s="46">
        <v>4</v>
      </c>
      <c r="W10" s="46"/>
      <c r="X10" s="46"/>
      <c r="Y10" s="46">
        <v>4</v>
      </c>
      <c r="Z10" s="46">
        <v>4</v>
      </c>
      <c r="AA10" s="46">
        <v>0</v>
      </c>
      <c r="AB10" s="46">
        <v>0</v>
      </c>
      <c r="AC10" s="46">
        <v>4</v>
      </c>
      <c r="AD10" s="46"/>
      <c r="AE10" s="46"/>
      <c r="AF10" s="46">
        <v>4</v>
      </c>
      <c r="AG10" s="46">
        <v>4</v>
      </c>
      <c r="AH10" s="46">
        <v>4</v>
      </c>
      <c r="AI10" s="46">
        <v>4</v>
      </c>
      <c r="AJ10" s="46">
        <v>4</v>
      </c>
      <c r="AK10" s="46"/>
      <c r="AL10" s="47">
        <f>SUM(G10:AK10)/4</f>
        <v>18</v>
      </c>
    </row>
    <row r="11" spans="1:38" ht="20.100000000000001" customHeight="1" x14ac:dyDescent="0.2">
      <c r="A11" s="127"/>
      <c r="B11" s="103">
        <f>DATE(Matrice!$B$18,MONTH(Matrice!C$28),Matrice!C$29)</f>
        <v>42063</v>
      </c>
      <c r="C11" s="49">
        <f>E10</f>
        <v>233</v>
      </c>
      <c r="D11" s="49">
        <f>AL11</f>
        <v>13</v>
      </c>
      <c r="E11" s="49">
        <f>C11-D11</f>
        <v>220</v>
      </c>
      <c r="F11" s="4"/>
      <c r="G11" s="46"/>
      <c r="H11" s="46">
        <v>0</v>
      </c>
      <c r="I11" s="46">
        <v>4</v>
      </c>
      <c r="J11" s="46">
        <v>4</v>
      </c>
      <c r="K11" s="46">
        <v>4</v>
      </c>
      <c r="L11" s="46">
        <v>4</v>
      </c>
      <c r="M11" s="46"/>
      <c r="N11" s="46"/>
      <c r="O11" s="46">
        <v>4</v>
      </c>
      <c r="P11" s="46">
        <v>4</v>
      </c>
      <c r="Q11" s="46">
        <v>4</v>
      </c>
      <c r="R11" s="46">
        <v>4</v>
      </c>
      <c r="S11" s="46">
        <v>0</v>
      </c>
      <c r="T11" s="46"/>
      <c r="U11" s="46"/>
      <c r="V11" s="46">
        <v>0</v>
      </c>
      <c r="W11" s="46">
        <v>0</v>
      </c>
      <c r="X11" s="46">
        <v>0</v>
      </c>
      <c r="Y11" s="46">
        <v>0</v>
      </c>
      <c r="Z11" s="46">
        <v>0</v>
      </c>
      <c r="AA11" s="46"/>
      <c r="AB11" s="46"/>
      <c r="AC11" s="46">
        <v>4</v>
      </c>
      <c r="AD11" s="46">
        <v>4</v>
      </c>
      <c r="AE11" s="46">
        <v>4</v>
      </c>
      <c r="AF11" s="46">
        <v>4</v>
      </c>
      <c r="AG11" s="46">
        <v>4</v>
      </c>
      <c r="AH11" s="46"/>
      <c r="AI11" s="10"/>
      <c r="AJ11" s="87"/>
      <c r="AK11" s="87"/>
      <c r="AL11" s="47">
        <f t="shared" ref="AL11:AL21" si="1">SUM(G11:AK11)/4</f>
        <v>13</v>
      </c>
    </row>
    <row r="12" spans="1:38" ht="20.100000000000001" customHeight="1" x14ac:dyDescent="0.2">
      <c r="A12" s="127"/>
      <c r="B12" s="104">
        <f>DATE(Matrice!$B$18,MONTH(Matrice!D$28),Matrice!D$29)</f>
        <v>42094</v>
      </c>
      <c r="C12" s="49">
        <f t="shared" ref="C12:C21" si="2">E11</f>
        <v>220</v>
      </c>
      <c r="D12" s="49">
        <f t="shared" ref="D12:D21" si="3">AL12</f>
        <v>22</v>
      </c>
      <c r="E12" s="49">
        <f t="shared" ref="E12:E21" si="4">C12-D12</f>
        <v>198</v>
      </c>
      <c r="F12" s="4"/>
      <c r="G12" s="46"/>
      <c r="H12" s="46">
        <v>4</v>
      </c>
      <c r="I12" s="46">
        <v>4</v>
      </c>
      <c r="J12" s="46">
        <v>4</v>
      </c>
      <c r="K12" s="46">
        <v>4</v>
      </c>
      <c r="L12" s="46">
        <v>4</v>
      </c>
      <c r="M12" s="46"/>
      <c r="N12" s="46"/>
      <c r="O12" s="46">
        <v>4</v>
      </c>
      <c r="P12" s="46">
        <v>4</v>
      </c>
      <c r="Q12" s="46">
        <v>4</v>
      </c>
      <c r="R12" s="46">
        <v>4</v>
      </c>
      <c r="S12" s="46">
        <v>4</v>
      </c>
      <c r="T12" s="46"/>
      <c r="U12" s="46"/>
      <c r="V12" s="46">
        <v>4</v>
      </c>
      <c r="W12" s="46">
        <v>4</v>
      </c>
      <c r="X12" s="46">
        <v>4</v>
      </c>
      <c r="Y12" s="46">
        <v>4</v>
      </c>
      <c r="Z12" s="46">
        <v>4</v>
      </c>
      <c r="AA12" s="46"/>
      <c r="AB12" s="46"/>
      <c r="AC12" s="46">
        <v>4</v>
      </c>
      <c r="AD12" s="46">
        <v>4</v>
      </c>
      <c r="AE12" s="46">
        <v>4</v>
      </c>
      <c r="AF12" s="46">
        <v>4</v>
      </c>
      <c r="AG12" s="46">
        <v>4</v>
      </c>
      <c r="AH12" s="46"/>
      <c r="AI12" s="46"/>
      <c r="AJ12" s="46">
        <v>4</v>
      </c>
      <c r="AK12" s="74">
        <v>4</v>
      </c>
      <c r="AL12" s="47">
        <f t="shared" si="1"/>
        <v>22</v>
      </c>
    </row>
    <row r="13" spans="1:38" ht="20.100000000000001" customHeight="1" x14ac:dyDescent="0.2">
      <c r="A13" s="127"/>
      <c r="B13" s="103">
        <f>DATE(Matrice!$B$18,MONTH(Matrice!E$28),Matrice!E$29)</f>
        <v>42124</v>
      </c>
      <c r="C13" s="49">
        <f t="shared" si="2"/>
        <v>198</v>
      </c>
      <c r="D13" s="49">
        <f t="shared" si="3"/>
        <v>19.5</v>
      </c>
      <c r="E13" s="49">
        <f t="shared" si="4"/>
        <v>178.5</v>
      </c>
      <c r="F13" s="4"/>
      <c r="G13" s="46">
        <v>0</v>
      </c>
      <c r="H13" s="46">
        <v>4</v>
      </c>
      <c r="I13" s="46">
        <v>4</v>
      </c>
      <c r="J13" s="46"/>
      <c r="K13" s="46"/>
      <c r="L13" s="46"/>
      <c r="M13" s="46">
        <v>4</v>
      </c>
      <c r="N13" s="46">
        <v>2</v>
      </c>
      <c r="O13" s="46">
        <v>4</v>
      </c>
      <c r="P13" s="46">
        <v>4</v>
      </c>
      <c r="Q13" s="46"/>
      <c r="R13" s="46"/>
      <c r="S13" s="46">
        <v>4</v>
      </c>
      <c r="T13" s="46">
        <v>4</v>
      </c>
      <c r="U13" s="46">
        <v>4</v>
      </c>
      <c r="V13" s="46">
        <v>4</v>
      </c>
      <c r="W13" s="46">
        <v>4</v>
      </c>
      <c r="X13" s="46"/>
      <c r="Y13" s="46"/>
      <c r="Z13" s="46">
        <v>4</v>
      </c>
      <c r="AA13" s="46">
        <v>4</v>
      </c>
      <c r="AB13" s="46">
        <v>4</v>
      </c>
      <c r="AC13" s="46">
        <v>4</v>
      </c>
      <c r="AD13" s="46">
        <v>4</v>
      </c>
      <c r="AE13" s="46"/>
      <c r="AF13" s="46"/>
      <c r="AG13" s="46">
        <v>4</v>
      </c>
      <c r="AH13" s="46">
        <v>4</v>
      </c>
      <c r="AI13" s="46">
        <v>4</v>
      </c>
      <c r="AJ13" s="73">
        <v>4</v>
      </c>
      <c r="AK13" s="79"/>
      <c r="AL13" s="47">
        <f t="shared" si="1"/>
        <v>19.5</v>
      </c>
    </row>
    <row r="14" spans="1:38" ht="20.100000000000001" customHeight="1" x14ac:dyDescent="0.2">
      <c r="A14" s="127"/>
      <c r="B14" s="103">
        <f>DATE(Matrice!$B$18,MONTH(Matrice!F$28),Matrice!F$29)</f>
        <v>42155</v>
      </c>
      <c r="C14" s="49">
        <f t="shared" si="2"/>
        <v>178.5</v>
      </c>
      <c r="D14" s="49">
        <f t="shared" si="3"/>
        <v>15.5</v>
      </c>
      <c r="E14" s="49">
        <f t="shared" si="4"/>
        <v>163</v>
      </c>
      <c r="F14" s="4"/>
      <c r="G14" s="46"/>
      <c r="H14" s="46"/>
      <c r="I14" s="46"/>
      <c r="J14" s="46">
        <v>4</v>
      </c>
      <c r="K14" s="46">
        <v>4</v>
      </c>
      <c r="L14" s="46">
        <v>4</v>
      </c>
      <c r="M14" s="46">
        <v>4</v>
      </c>
      <c r="N14" s="46"/>
      <c r="O14" s="74"/>
      <c r="P14" s="46"/>
      <c r="Q14" s="46">
        <v>4</v>
      </c>
      <c r="R14" s="46">
        <v>4</v>
      </c>
      <c r="S14" s="46">
        <v>4</v>
      </c>
      <c r="T14" s="46"/>
      <c r="U14" s="46">
        <v>0</v>
      </c>
      <c r="V14" s="46"/>
      <c r="W14" s="38"/>
      <c r="X14" s="46">
        <v>4</v>
      </c>
      <c r="Y14" s="46">
        <v>2</v>
      </c>
      <c r="Z14" s="46">
        <v>4</v>
      </c>
      <c r="AA14" s="46">
        <v>4</v>
      </c>
      <c r="AB14" s="46">
        <v>4</v>
      </c>
      <c r="AC14" s="46"/>
      <c r="AD14" s="46"/>
      <c r="AE14" s="46"/>
      <c r="AF14" s="46">
        <v>4</v>
      </c>
      <c r="AG14" s="46">
        <v>4</v>
      </c>
      <c r="AH14" s="10">
        <v>4</v>
      </c>
      <c r="AI14" s="46">
        <v>4</v>
      </c>
      <c r="AJ14" s="46"/>
      <c r="AK14" s="75"/>
      <c r="AL14" s="47">
        <f t="shared" si="1"/>
        <v>15.5</v>
      </c>
    </row>
    <row r="15" spans="1:38" ht="20.100000000000001" customHeight="1" x14ac:dyDescent="0.2">
      <c r="A15" s="127"/>
      <c r="B15" s="103">
        <f>DATE(Matrice!$B$18,MONTH(Matrice!G$28),Matrice!G$29)</f>
        <v>42185</v>
      </c>
      <c r="C15" s="49">
        <f t="shared" si="2"/>
        <v>163</v>
      </c>
      <c r="D15" s="49">
        <f t="shared" si="3"/>
        <v>18</v>
      </c>
      <c r="E15" s="49">
        <f t="shared" si="4"/>
        <v>145</v>
      </c>
      <c r="F15" s="4"/>
      <c r="G15" s="46">
        <v>4</v>
      </c>
      <c r="H15" s="46">
        <v>4</v>
      </c>
      <c r="I15" s="46">
        <v>4</v>
      </c>
      <c r="J15" s="10">
        <v>4</v>
      </c>
      <c r="K15" s="10">
        <v>4</v>
      </c>
      <c r="L15" s="10"/>
      <c r="M15" s="10"/>
      <c r="N15" s="76">
        <v>4</v>
      </c>
      <c r="O15" s="10"/>
      <c r="P15" s="77">
        <v>4</v>
      </c>
      <c r="Q15" s="10">
        <v>4</v>
      </c>
      <c r="R15" s="10">
        <v>4</v>
      </c>
      <c r="S15" s="10"/>
      <c r="T15" s="10"/>
      <c r="U15" s="10">
        <v>4</v>
      </c>
      <c r="V15" s="10">
        <v>4</v>
      </c>
      <c r="W15" s="10">
        <v>4</v>
      </c>
      <c r="X15" s="10">
        <v>4</v>
      </c>
      <c r="Y15" s="10">
        <v>4</v>
      </c>
      <c r="Z15" s="10"/>
      <c r="AA15" s="10"/>
      <c r="AB15" s="10">
        <v>4</v>
      </c>
      <c r="AC15" s="10">
        <v>4</v>
      </c>
      <c r="AD15" s="10">
        <v>0</v>
      </c>
      <c r="AE15" s="10">
        <v>0</v>
      </c>
      <c r="AF15" s="10">
        <v>0</v>
      </c>
      <c r="AG15" s="10"/>
      <c r="AH15" s="10"/>
      <c r="AI15" s="10">
        <v>4</v>
      </c>
      <c r="AJ15" s="10">
        <v>4</v>
      </c>
      <c r="AK15" s="79"/>
      <c r="AL15" s="47">
        <f t="shared" si="1"/>
        <v>18</v>
      </c>
    </row>
    <row r="16" spans="1:38" s="5" customFormat="1" ht="20.100000000000001" customHeight="1" x14ac:dyDescent="0.2">
      <c r="A16" s="127"/>
      <c r="B16" s="104">
        <f>DATE(Matrice!$B$18,MONTH(Matrice!H$28),Matrice!H$29)</f>
        <v>42216</v>
      </c>
      <c r="C16" s="49">
        <f t="shared" si="2"/>
        <v>145</v>
      </c>
      <c r="D16" s="49">
        <f t="shared" si="3"/>
        <v>22</v>
      </c>
      <c r="E16" s="49">
        <f t="shared" si="4"/>
        <v>123</v>
      </c>
      <c r="F16" s="4"/>
      <c r="G16" s="46">
        <v>4</v>
      </c>
      <c r="H16" s="46">
        <v>4</v>
      </c>
      <c r="I16" s="46">
        <v>4</v>
      </c>
      <c r="J16" s="10"/>
      <c r="K16" s="10"/>
      <c r="L16" s="10">
        <v>4</v>
      </c>
      <c r="M16" s="10">
        <v>4</v>
      </c>
      <c r="N16" s="10">
        <v>4</v>
      </c>
      <c r="O16" s="78">
        <v>4</v>
      </c>
      <c r="P16" s="10">
        <v>4</v>
      </c>
      <c r="Q16" s="10"/>
      <c r="R16" s="10"/>
      <c r="S16" s="10">
        <v>4</v>
      </c>
      <c r="T16" s="10"/>
      <c r="U16" s="10">
        <v>4</v>
      </c>
      <c r="V16" s="10">
        <v>4</v>
      </c>
      <c r="W16" s="10">
        <v>4</v>
      </c>
      <c r="X16" s="10"/>
      <c r="Y16" s="10"/>
      <c r="Z16" s="10">
        <v>4</v>
      </c>
      <c r="AA16" s="10">
        <v>4</v>
      </c>
      <c r="AB16" s="10">
        <v>4</v>
      </c>
      <c r="AC16" s="10">
        <v>4</v>
      </c>
      <c r="AD16" s="10">
        <v>4</v>
      </c>
      <c r="AE16" s="10"/>
      <c r="AF16" s="10"/>
      <c r="AG16" s="10">
        <v>4</v>
      </c>
      <c r="AH16" s="10">
        <v>4</v>
      </c>
      <c r="AI16" s="10">
        <v>4</v>
      </c>
      <c r="AJ16" s="10">
        <v>4</v>
      </c>
      <c r="AK16" s="10">
        <v>4</v>
      </c>
      <c r="AL16" s="47">
        <f t="shared" si="1"/>
        <v>22</v>
      </c>
    </row>
    <row r="17" spans="1:38" ht="20.100000000000001" customHeight="1" x14ac:dyDescent="0.2">
      <c r="A17" s="127"/>
      <c r="B17" s="103">
        <f>DATE(Matrice!$B$18,MONTH(Matrice!I$28),Matrice!I$29)</f>
        <v>42247</v>
      </c>
      <c r="C17" s="49">
        <f t="shared" si="2"/>
        <v>123</v>
      </c>
      <c r="D17" s="49">
        <f t="shared" si="3"/>
        <v>21</v>
      </c>
      <c r="E17" s="49">
        <f t="shared" si="4"/>
        <v>102</v>
      </c>
      <c r="F17" s="4"/>
      <c r="G17" s="46"/>
      <c r="H17" s="46"/>
      <c r="I17" s="46">
        <v>4</v>
      </c>
      <c r="J17" s="10">
        <v>4</v>
      </c>
      <c r="K17" s="10">
        <v>4</v>
      </c>
      <c r="L17" s="10">
        <v>4</v>
      </c>
      <c r="M17" s="10">
        <v>4</v>
      </c>
      <c r="N17" s="10"/>
      <c r="O17" s="10"/>
      <c r="P17" s="10">
        <v>4</v>
      </c>
      <c r="Q17" s="10">
        <v>4</v>
      </c>
      <c r="R17" s="10">
        <v>4</v>
      </c>
      <c r="S17" s="10">
        <v>4</v>
      </c>
      <c r="T17" s="10">
        <v>4</v>
      </c>
      <c r="U17" s="46"/>
      <c r="V17" s="10"/>
      <c r="W17" s="10">
        <v>4</v>
      </c>
      <c r="X17" s="10">
        <v>4</v>
      </c>
      <c r="Y17" s="10">
        <v>4</v>
      </c>
      <c r="Z17" s="10">
        <v>4</v>
      </c>
      <c r="AA17" s="10">
        <v>4</v>
      </c>
      <c r="AB17" s="10"/>
      <c r="AC17" s="10"/>
      <c r="AD17" s="10">
        <v>4</v>
      </c>
      <c r="AE17" s="10">
        <v>4</v>
      </c>
      <c r="AF17" s="10">
        <v>4</v>
      </c>
      <c r="AG17" s="10">
        <v>4</v>
      </c>
      <c r="AH17" s="10">
        <v>4</v>
      </c>
      <c r="AI17" s="10"/>
      <c r="AJ17" s="10"/>
      <c r="AK17" s="10">
        <v>4</v>
      </c>
      <c r="AL17" s="47">
        <f t="shared" si="1"/>
        <v>21</v>
      </c>
    </row>
    <row r="18" spans="1:38" ht="20.100000000000001" customHeight="1" x14ac:dyDescent="0.2">
      <c r="A18" s="127"/>
      <c r="B18" s="103">
        <f>DATE(Matrice!$B$18,MONTH(Matrice!J$28),Matrice!J$29)</f>
        <v>42277</v>
      </c>
      <c r="C18" s="49">
        <f t="shared" si="2"/>
        <v>102</v>
      </c>
      <c r="D18" s="49">
        <f t="shared" si="3"/>
        <v>22</v>
      </c>
      <c r="E18" s="49">
        <f t="shared" si="4"/>
        <v>80</v>
      </c>
      <c r="F18" s="4"/>
      <c r="G18" s="46">
        <v>4</v>
      </c>
      <c r="H18" s="46">
        <v>4</v>
      </c>
      <c r="I18" s="46">
        <v>4</v>
      </c>
      <c r="J18" s="10">
        <v>4</v>
      </c>
      <c r="K18" s="10"/>
      <c r="L18" s="10"/>
      <c r="M18" s="10">
        <v>4</v>
      </c>
      <c r="N18" s="10">
        <v>4</v>
      </c>
      <c r="O18" s="10">
        <v>4</v>
      </c>
      <c r="P18" s="10">
        <v>4</v>
      </c>
      <c r="Q18" s="10">
        <v>4</v>
      </c>
      <c r="R18" s="10"/>
      <c r="S18" s="10"/>
      <c r="T18" s="10">
        <v>4</v>
      </c>
      <c r="U18" s="10">
        <v>4</v>
      </c>
      <c r="V18" s="10">
        <v>4</v>
      </c>
      <c r="W18" s="10">
        <v>4</v>
      </c>
      <c r="X18" s="10">
        <v>4</v>
      </c>
      <c r="Y18" s="10"/>
      <c r="Z18" s="10"/>
      <c r="AA18" s="10">
        <v>4</v>
      </c>
      <c r="AB18" s="10">
        <v>4</v>
      </c>
      <c r="AC18" s="10">
        <v>4</v>
      </c>
      <c r="AD18" s="10">
        <v>4</v>
      </c>
      <c r="AE18" s="10">
        <v>4</v>
      </c>
      <c r="AF18" s="10"/>
      <c r="AG18" s="10"/>
      <c r="AH18" s="10">
        <v>4</v>
      </c>
      <c r="AI18" s="10">
        <v>4</v>
      </c>
      <c r="AJ18" s="10">
        <v>4</v>
      </c>
      <c r="AK18" s="79"/>
      <c r="AL18" s="47">
        <f t="shared" si="1"/>
        <v>22</v>
      </c>
    </row>
    <row r="19" spans="1:38" s="5" customFormat="1" ht="20.100000000000001" customHeight="1" x14ac:dyDescent="0.2">
      <c r="A19" s="127"/>
      <c r="B19" s="103">
        <f>DATE(Matrice!$B$18,MONTH(Matrice!K$28),Matrice!K$29)</f>
        <v>42308</v>
      </c>
      <c r="C19" s="49">
        <f t="shared" si="2"/>
        <v>80</v>
      </c>
      <c r="D19" s="49">
        <f t="shared" si="3"/>
        <v>22</v>
      </c>
      <c r="E19" s="49">
        <f t="shared" si="4"/>
        <v>58</v>
      </c>
      <c r="F19" s="4"/>
      <c r="G19" s="46">
        <v>4</v>
      </c>
      <c r="H19" s="46">
        <v>4</v>
      </c>
      <c r="I19" s="46"/>
      <c r="J19" s="10"/>
      <c r="K19" s="10">
        <v>4</v>
      </c>
      <c r="L19" s="10">
        <v>4</v>
      </c>
      <c r="M19" s="10">
        <v>4</v>
      </c>
      <c r="N19" s="10">
        <v>4</v>
      </c>
      <c r="O19" s="10">
        <v>4</v>
      </c>
      <c r="P19" s="10"/>
      <c r="Q19" s="10"/>
      <c r="R19" s="10">
        <v>4</v>
      </c>
      <c r="S19" s="10">
        <v>4</v>
      </c>
      <c r="T19" s="10">
        <v>4</v>
      </c>
      <c r="U19" s="10">
        <v>4</v>
      </c>
      <c r="V19" s="10">
        <v>4</v>
      </c>
      <c r="W19" s="10"/>
      <c r="X19" s="10"/>
      <c r="Y19" s="10">
        <v>4</v>
      </c>
      <c r="Z19" s="10">
        <v>4</v>
      </c>
      <c r="AA19" s="10">
        <v>4</v>
      </c>
      <c r="AB19" s="10">
        <v>4</v>
      </c>
      <c r="AC19" s="10">
        <v>4</v>
      </c>
      <c r="AD19" s="10"/>
      <c r="AE19" s="10"/>
      <c r="AF19" s="10">
        <v>4</v>
      </c>
      <c r="AG19" s="10">
        <v>4</v>
      </c>
      <c r="AH19" s="10">
        <v>4</v>
      </c>
      <c r="AI19" s="10">
        <v>4</v>
      </c>
      <c r="AJ19" s="10">
        <v>4</v>
      </c>
      <c r="AK19" s="10"/>
      <c r="AL19" s="47">
        <f t="shared" si="1"/>
        <v>22</v>
      </c>
    </row>
    <row r="20" spans="1:38" s="5" customFormat="1" ht="20.100000000000001" customHeight="1" x14ac:dyDescent="0.2">
      <c r="A20" s="127"/>
      <c r="B20" s="103">
        <f>DATE(Matrice!$B$18,MONTH(Matrice!L$28),Matrice!L$29)</f>
        <v>42338</v>
      </c>
      <c r="C20" s="49">
        <f t="shared" si="2"/>
        <v>58</v>
      </c>
      <c r="D20" s="49">
        <f t="shared" si="3"/>
        <v>20</v>
      </c>
      <c r="E20" s="49">
        <f t="shared" si="4"/>
        <v>38</v>
      </c>
      <c r="F20" s="4"/>
      <c r="G20" s="46"/>
      <c r="H20" s="46">
        <v>4</v>
      </c>
      <c r="I20" s="46">
        <v>4</v>
      </c>
      <c r="J20" s="10">
        <v>4</v>
      </c>
      <c r="K20" s="10">
        <v>4</v>
      </c>
      <c r="L20" s="10">
        <v>4</v>
      </c>
      <c r="M20" s="10"/>
      <c r="N20" s="10"/>
      <c r="O20" s="10">
        <v>4</v>
      </c>
      <c r="P20" s="10">
        <v>4</v>
      </c>
      <c r="Q20" s="46"/>
      <c r="R20" s="10">
        <v>4</v>
      </c>
      <c r="S20" s="10">
        <v>4</v>
      </c>
      <c r="T20" s="10"/>
      <c r="U20" s="10"/>
      <c r="V20" s="10">
        <v>4</v>
      </c>
      <c r="W20" s="10">
        <v>4</v>
      </c>
      <c r="X20" s="10">
        <v>4</v>
      </c>
      <c r="Y20" s="10">
        <v>4</v>
      </c>
      <c r="Z20" s="10">
        <v>4</v>
      </c>
      <c r="AA20" s="10"/>
      <c r="AB20" s="10"/>
      <c r="AC20" s="10">
        <v>4</v>
      </c>
      <c r="AD20" s="10">
        <v>4</v>
      </c>
      <c r="AE20" s="10">
        <v>4</v>
      </c>
      <c r="AF20" s="10">
        <v>4</v>
      </c>
      <c r="AG20" s="10">
        <v>4</v>
      </c>
      <c r="AH20" s="10"/>
      <c r="AI20" s="10"/>
      <c r="AJ20" s="10">
        <v>4</v>
      </c>
      <c r="AK20" s="79"/>
      <c r="AL20" s="47">
        <f t="shared" si="1"/>
        <v>20</v>
      </c>
    </row>
    <row r="21" spans="1:38" ht="20.100000000000001" customHeight="1" x14ac:dyDescent="0.2">
      <c r="A21" s="128"/>
      <c r="B21" s="103">
        <f>DATE(Matrice!$B$18,MONTH(Matrice!M$28),Matrice!M$29)</f>
        <v>42369</v>
      </c>
      <c r="C21" s="49">
        <f t="shared" si="2"/>
        <v>38</v>
      </c>
      <c r="D21" s="49">
        <f t="shared" si="3"/>
        <v>22</v>
      </c>
      <c r="E21" s="49">
        <f t="shared" si="4"/>
        <v>16</v>
      </c>
      <c r="F21" s="4"/>
      <c r="G21" s="46">
        <v>4</v>
      </c>
      <c r="H21" s="46">
        <v>4</v>
      </c>
      <c r="I21" s="46">
        <v>4</v>
      </c>
      <c r="J21" s="10">
        <v>4</v>
      </c>
      <c r="K21" s="10"/>
      <c r="L21" s="10"/>
      <c r="M21" s="10">
        <v>4</v>
      </c>
      <c r="N21" s="10">
        <v>4</v>
      </c>
      <c r="O21" s="10">
        <v>4</v>
      </c>
      <c r="P21" s="10">
        <v>4</v>
      </c>
      <c r="Q21" s="10">
        <v>4</v>
      </c>
      <c r="R21" s="10"/>
      <c r="S21" s="10"/>
      <c r="T21" s="10">
        <v>4</v>
      </c>
      <c r="U21" s="10">
        <v>4</v>
      </c>
      <c r="V21" s="10">
        <v>4</v>
      </c>
      <c r="W21" s="10">
        <v>4</v>
      </c>
      <c r="X21" s="10">
        <v>4</v>
      </c>
      <c r="Y21" s="10"/>
      <c r="Z21" s="10"/>
      <c r="AA21" s="10">
        <v>4</v>
      </c>
      <c r="AB21" s="10">
        <v>4</v>
      </c>
      <c r="AC21" s="10">
        <v>4</v>
      </c>
      <c r="AD21" s="10">
        <v>4</v>
      </c>
      <c r="AE21" s="46"/>
      <c r="AF21" s="10"/>
      <c r="AG21" s="10"/>
      <c r="AH21" s="10">
        <v>4</v>
      </c>
      <c r="AI21" s="99">
        <v>4</v>
      </c>
      <c r="AJ21" s="10">
        <v>4</v>
      </c>
      <c r="AK21" s="10">
        <v>4</v>
      </c>
      <c r="AL21" s="47">
        <f t="shared" si="1"/>
        <v>22</v>
      </c>
    </row>
    <row r="22" spans="1:38" ht="15.75" x14ac:dyDescent="0.2">
      <c r="A22" s="5"/>
      <c r="B22" s="5"/>
      <c r="C22" s="5"/>
      <c r="D22" s="5"/>
      <c r="E22" s="5"/>
      <c r="F22" s="4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48">
        <f>SUM(AL10:AL21)</f>
        <v>235</v>
      </c>
    </row>
    <row r="23" spans="1:38" ht="15" x14ac:dyDescent="0.2">
      <c r="A23" s="12"/>
      <c r="B23" s="12"/>
      <c r="C23" s="11"/>
      <c r="D23" s="11"/>
      <c r="E23" s="11"/>
      <c r="F23" s="11"/>
      <c r="G23" s="11"/>
      <c r="H23" s="11"/>
      <c r="I23" s="11"/>
      <c r="J23" s="9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</row>
  </sheetData>
  <dataConsolidate/>
  <mergeCells count="2">
    <mergeCell ref="P3:V3"/>
    <mergeCell ref="A10:A21"/>
  </mergeCells>
  <conditionalFormatting sqref="G12:AK12">
    <cfRule type="expression" dxfId="33" priority="82">
      <formula>WEEKDAY(DATE($B$2,3,G$9),2)&gt;5</formula>
    </cfRule>
  </conditionalFormatting>
  <conditionalFormatting sqref="G13:AK13">
    <cfRule type="expression" dxfId="32" priority="83">
      <formula>WEEKDAY(DATE($B$2,4,G$9),2)&gt;5</formula>
    </cfRule>
  </conditionalFormatting>
  <conditionalFormatting sqref="G14:AK14">
    <cfRule type="expression" dxfId="31" priority="84">
      <formula>WEEKDAY(DATE($B$2,5,G$9),2)&gt;5</formula>
    </cfRule>
  </conditionalFormatting>
  <conditionalFormatting sqref="G15:AK15">
    <cfRule type="expression" dxfId="30" priority="85">
      <formula>WEEKDAY(DATE($B$2,6,G$9),2)&gt;5</formula>
    </cfRule>
  </conditionalFormatting>
  <conditionalFormatting sqref="G17:AK17">
    <cfRule type="expression" dxfId="29" priority="89">
      <formula>WEEKDAY(DATE($B$2,8,G$9),2)&gt;5</formula>
    </cfRule>
  </conditionalFormatting>
  <conditionalFormatting sqref="G18:AK18">
    <cfRule type="expression" dxfId="28" priority="90">
      <formula>WEEKDAY(DATE($B$2,9,G$9),2)&gt;5</formula>
    </cfRule>
  </conditionalFormatting>
  <conditionalFormatting sqref="G19:AK19">
    <cfRule type="expression" dxfId="27" priority="91">
      <formula>WEEKDAY(DATE($B$2,10,G$9),2)&gt;5</formula>
    </cfRule>
  </conditionalFormatting>
  <conditionalFormatting sqref="G20:AK20">
    <cfRule type="expression" dxfId="26" priority="178">
      <formula>WEEKDAY(DATE($B$2,11,G$9),2)&gt;5</formula>
    </cfRule>
  </conditionalFormatting>
  <conditionalFormatting sqref="G21:AK21">
    <cfRule type="expression" dxfId="25" priority="273">
      <formula>WEEKDAY(DATE($B$2,12,G$9),2)&gt;5</formula>
    </cfRule>
  </conditionalFormatting>
  <conditionalFormatting sqref="G16:AK16">
    <cfRule type="expression" dxfId="24" priority="88">
      <formula>WEEKDAY(DATE($B$2,7,G$9),2)&gt;5</formula>
    </cfRule>
  </conditionalFormatting>
  <conditionalFormatting sqref="G10:AK10">
    <cfRule type="expression" dxfId="23" priority="58">
      <formula>WEEKDAY(DATE($B$2,1,G$9),2)&gt;5</formula>
    </cfRule>
  </conditionalFormatting>
  <conditionalFormatting sqref="AI11">
    <cfRule type="expression" dxfId="22" priority="59">
      <formula>MOD(B2,4)</formula>
    </cfRule>
  </conditionalFormatting>
  <conditionalFormatting sqref="G11:AI11">
    <cfRule type="expression" dxfId="21" priority="79">
      <formula>WEEKDAY(DATE($B$2,2,G$9),2)&gt;5</formula>
    </cfRule>
  </conditionalFormatting>
  <printOptions horizontalCentered="1"/>
  <pageMargins left="0.19685039370078741" right="0.19685039370078741" top="0.74803149606299213" bottom="0.74803149606299213" header="0.31496062992125984" footer="0.31496062992125984"/>
  <pageSetup paperSize="9" scale="6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Button 1">
              <controlPr defaultSize="0" print="0" autoFill="0" autoPict="0" macro="[0]!AllerFacturé">
                <anchor moveWithCells="1" sizeWithCells="1">
                  <from>
                    <xdr:col>0</xdr:col>
                    <xdr:colOff>142875</xdr:colOff>
                    <xdr:row>21</xdr:row>
                    <xdr:rowOff>114300</xdr:rowOff>
                  </from>
                  <to>
                    <xdr:col>0</xdr:col>
                    <xdr:colOff>1276350</xdr:colOff>
                    <xdr:row>23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7" r:id="rId5" name="Button 3">
              <controlPr defaultSize="0" print="0" autoFill="0" autoPict="0" macro="[0]!RAZ">
                <anchor moveWithCells="1" sizeWithCells="1">
                  <from>
                    <xdr:col>0</xdr:col>
                    <xdr:colOff>333375</xdr:colOff>
                    <xdr:row>15</xdr:row>
                    <xdr:rowOff>200025</xdr:rowOff>
                  </from>
                  <to>
                    <xdr:col>0</xdr:col>
                    <xdr:colOff>981075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8" r:id="rId6" name="Button 4">
              <controlPr defaultSize="0" print="0" autoFill="0" autoPict="0" macro="[0]!AllerCRAMens">
                <anchor moveWithCells="1" sizeWithCells="1">
                  <from>
                    <xdr:col>0</xdr:col>
                    <xdr:colOff>142875</xdr:colOff>
                    <xdr:row>24</xdr:row>
                    <xdr:rowOff>47625</xdr:rowOff>
                  </from>
                  <to>
                    <xdr:col>0</xdr:col>
                    <xdr:colOff>1276350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7" name="Button 5">
              <controlPr defaultSize="0" print="0" autoFill="0" autoPict="0" macro="[0]!Affecter4">
                <anchor moveWithCells="1" sizeWithCells="1">
                  <from>
                    <xdr:col>1</xdr:col>
                    <xdr:colOff>876300</xdr:colOff>
                    <xdr:row>9</xdr:row>
                    <xdr:rowOff>19050</xdr:rowOff>
                  </from>
                  <to>
                    <xdr:col>1</xdr:col>
                    <xdr:colOff>1219200</xdr:colOff>
                    <xdr:row>9</xdr:row>
                    <xdr:rowOff>219075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508DF752-1282-4085-B7D5-77BB9BB8BA64}">
            <xm:f>DATE($B$2,MONTH($B10),G$9)=HLOOKUP(DATE($B$2,MONTH($B10),G$9),Matrice!$B$31:$L$31,1,FALSE)</xm:f>
            <x14:dxf>
              <fill>
                <patternFill>
                  <bgColor rgb="FFF418DA"/>
                </patternFill>
              </fill>
            </x14:dxf>
          </x14:cfRule>
          <xm:sqref>G10:AK21</xm:sqref>
        </x14:conditionalFormatting>
        <x14:conditionalFormatting xmlns:xm="http://schemas.microsoft.com/office/excel/2006/main">
          <x14:cfRule type="expression" priority="56" id="{36C67B8F-3413-4D60-824E-5CACE8035B0A}">
            <xm:f>TEXT($B10,"mmmm")=TEXT(Matrice!$B$23,"mmmm")</xm:f>
            <x14:dxf>
              <border>
                <left style="thin">
                  <color rgb="FFFF0000"/>
                </lef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B10</xm:sqref>
        </x14:conditionalFormatting>
        <x14:conditionalFormatting xmlns:xm="http://schemas.microsoft.com/office/excel/2006/main">
          <x14:cfRule type="expression" priority="51" id="{BB9D4B42-D4F3-4009-9C27-25E8919FE732}">
            <xm:f>TEXT(B10,"mmmm")=TEXT(Matrice!$B$23,"mmmm")</xm:f>
            <x14:dxf>
              <border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AL10</xm:sqref>
        </x14:conditionalFormatting>
        <x14:conditionalFormatting xmlns:xm="http://schemas.microsoft.com/office/excel/2006/main">
          <x14:cfRule type="expression" priority="50" id="{53FEA703-E1DC-4078-A6E7-8113603C2D09}">
            <xm:f>TEXT($B11,"mmmm")=TEXT(Matrice!$B$23,"mmmm")</xm:f>
            <x14:dxf>
              <border>
                <left style="thin">
                  <color rgb="FFFF0000"/>
                </lef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B11:B21</xm:sqref>
        </x14:conditionalFormatting>
        <x14:conditionalFormatting xmlns:xm="http://schemas.microsoft.com/office/excel/2006/main">
          <x14:cfRule type="expression" priority="43" id="{7070CC6F-9E9D-4031-8534-91A86CA6CFA4}">
            <xm:f>TEXT(B11,"mmmm")=TEXT(Matrice!$B$23,"mmmm")</xm:f>
            <x14:dxf>
              <border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AL11:AL21</xm:sqref>
        </x14:conditionalFormatting>
        <x14:conditionalFormatting xmlns:xm="http://schemas.microsoft.com/office/excel/2006/main">
          <x14:cfRule type="expression" priority="28" id="{3A5B3DD8-52CB-45C1-B30C-AF0353629B97}">
            <xm:f>TEXT(B10,"mmmm")=TEXT(Matrice!$B$23,"mmmm")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C10:C21</xm:sqref>
        </x14:conditionalFormatting>
        <x14:conditionalFormatting xmlns:xm="http://schemas.microsoft.com/office/excel/2006/main">
          <x14:cfRule type="expression" priority="25" id="{A94C3DE3-E50C-49E9-8756-2E3B95576997}">
            <xm:f>TEXT($B10,"mmmm")=TEXT(Matrice!$B$23,"mmmm")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D10</xm:sqref>
        </x14:conditionalFormatting>
        <x14:conditionalFormatting xmlns:xm="http://schemas.microsoft.com/office/excel/2006/main">
          <x14:cfRule type="expression" priority="24" id="{B21A0FAF-353B-4087-96CA-1F48F971808E}">
            <xm:f>TEXT($B11,"mmmm")=TEXT(Matrice!$B$23,"mmmm")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D11:D21</xm:sqref>
        </x14:conditionalFormatting>
        <x14:conditionalFormatting xmlns:xm="http://schemas.microsoft.com/office/excel/2006/main">
          <x14:cfRule type="expression" priority="23" id="{7A5BDB07-3192-49A8-A4D5-7F6913C239DE}">
            <xm:f>TEXT($B10,"mmmm")=TEXT(Matrice!$B$23,"mmmm")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E10:E21</xm:sqref>
        </x14:conditionalFormatting>
        <x14:conditionalFormatting xmlns:xm="http://schemas.microsoft.com/office/excel/2006/main">
          <x14:cfRule type="expression" priority="22" id="{15CC0B02-CFF4-44CF-9B34-12D2E93608AE}">
            <xm:f>TEXT($B10,"mmmm")=TEXT(Matrice!$B$23,"mmmm")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G10</xm:sqref>
        </x14:conditionalFormatting>
        <x14:conditionalFormatting xmlns:xm="http://schemas.microsoft.com/office/excel/2006/main">
          <x14:cfRule type="expression" priority="19" id="{9164798E-B367-4330-9236-11B5E3DB7D22}">
            <xm:f>TEXT($B10,"mmmm")=TEXT(Matrice!$B$23,"mmmm")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F10</xm:sqref>
        </x14:conditionalFormatting>
        <x14:conditionalFormatting xmlns:xm="http://schemas.microsoft.com/office/excel/2006/main">
          <x14:cfRule type="expression" priority="18" id="{44883779-66A4-4603-A6A4-7F76E79CF959}">
            <xm:f>TEXT($B11,"mmmm")=TEXT(Matrice!$B$23,"mmmm")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F11:F22</xm:sqref>
        </x14:conditionalFormatting>
        <x14:conditionalFormatting xmlns:xm="http://schemas.microsoft.com/office/excel/2006/main">
          <x14:cfRule type="expression" priority="17" id="{0D7A1533-1A76-4560-9BA1-2A50E18CBFC0}">
            <xm:f>DATE($B$2,MONTH($B10),G$9)=HLOOKUP(DATE($B$2,MONTH($B10),G$9),Matrice!$B$31:$L$31,1,FALSE)</xm:f>
            <x14:dxf>
              <fill>
                <patternFill patternType="lightDown">
                  <bgColor rgb="FFFFFF00"/>
                </patternFill>
              </fill>
            </x14:dxf>
          </x14:cfRule>
          <xm:sqref>O15</xm:sqref>
        </x14:conditionalFormatting>
        <x14:conditionalFormatting xmlns:xm="http://schemas.microsoft.com/office/excel/2006/main">
          <x14:cfRule type="expression" priority="11" id="{EAB36B48-1C77-44B7-8D5B-F887B24EEE9E}">
            <xm:f>TEXT($B11,"mmmm")=TEXT(Matrice!$B$23,"mmmm")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G11:G21</xm:sqref>
        </x14:conditionalFormatting>
        <x14:conditionalFormatting xmlns:xm="http://schemas.microsoft.com/office/excel/2006/main">
          <x14:cfRule type="expression" priority="10" id="{2893E0BC-B1FA-4C11-885F-CCABC7475F60}">
            <xm:f>TEXT($B10,"mmmm")=TEXT(Matrice!$B$23,"mmmm")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H10</xm:sqref>
        </x14:conditionalFormatting>
        <x14:conditionalFormatting xmlns:xm="http://schemas.microsoft.com/office/excel/2006/main">
          <x14:cfRule type="expression" priority="8" id="{6DC0CDF2-2796-493B-BB0F-DE83AEE06339}">
            <xm:f>TEXT($B11,"mmmm")=TEXT(Matrice!$B$23,"mmmm")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H11:H21</xm:sqref>
        </x14:conditionalFormatting>
        <x14:conditionalFormatting xmlns:xm="http://schemas.microsoft.com/office/excel/2006/main">
          <x14:cfRule type="expression" priority="7" id="{26B6B100-3A19-485F-B7D7-BBA4C0B8F3AA}">
            <xm:f>TEXT($B10,"mmmm")=TEXT(Matrice!$B$23,"mmmm")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I10</xm:sqref>
        </x14:conditionalFormatting>
        <x14:conditionalFormatting xmlns:xm="http://schemas.microsoft.com/office/excel/2006/main">
          <x14:cfRule type="expression" priority="5" id="{BB240CC4-E7F1-4E46-B38E-BE8B6E383910}">
            <xm:f>TEXT($B11,"mmmm")=TEXT(Matrice!$B$23,"mmmm")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I11:I21</xm:sqref>
        </x14:conditionalFormatting>
        <x14:conditionalFormatting xmlns:xm="http://schemas.microsoft.com/office/excel/2006/main">
          <x14:cfRule type="expression" priority="4" id="{A344DC85-1D9F-4E22-A83F-9B36B237A275}">
            <xm:f>TEXT($B10,"mmmm")=TEXT(Matrice!$B$23,"mmmm")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J10:J21</xm:sqref>
        </x14:conditionalFormatting>
        <x14:conditionalFormatting xmlns:xm="http://schemas.microsoft.com/office/excel/2006/main">
          <x14:cfRule type="expression" priority="2" id="{929C9F92-BBA9-4EC8-B5DE-B8E7C1BDDBDC}">
            <xm:f>TEXT($B10,"mmmm")=TEXT(Matrice!$B$23,"mmmm")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K10:K21</xm:sqref>
        </x14:conditionalFormatting>
        <x14:conditionalFormatting xmlns:xm="http://schemas.microsoft.com/office/excel/2006/main">
          <x14:cfRule type="expression" priority="1" id="{5535A9DC-DFC2-41DD-9B7E-16DA690A0CF7}">
            <xm:f>TEXT($B10,"mmmm")=TEXT(Matrice!$B$23,"mmmm")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L10:AK21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H12" sqref="H12"/>
    </sheetView>
  </sheetViews>
  <sheetFormatPr baseColWidth="10" defaultColWidth="8.7109375" defaultRowHeight="12.75" x14ac:dyDescent="0.2"/>
  <sheetData>
    <row r="1" spans="1:1" x14ac:dyDescent="0.2">
      <c r="A1" t="str">
        <f>"En votre aimable règlement au 10/"&amp;IF(TEXT(G26,"mm")+2&lt;10,"0"&amp;TEXT(G26,"mm")+2,TEXT(G26,"mm")+2)&amp;"/"&amp;Matrice!B18&amp;" (ou à réception)"</f>
        <v>En votre aimable règlement au 10/03/2015 (ou à réception)</v>
      </c>
    </row>
    <row r="2" spans="1:1" x14ac:dyDescent="0.2">
      <c r="A2">
        <f>IF(Matrice!$B$12="",IF(B17="",B19,C19),Matrice!$B$12+(C19-B19))</f>
        <v>0</v>
      </c>
    </row>
    <row r="3" spans="1:1" x14ac:dyDescent="0.2">
      <c r="A3">
        <f>IF(Matrice!$B$12="",IF(D17="",D19,E19),B21+(E19-D19))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Matrice</vt:lpstr>
      <vt:lpstr>CRA Récapitulatif</vt:lpstr>
      <vt:lpstr>Feuil9</vt:lpstr>
      <vt:lpstr>Janvier</vt:lpstr>
      <vt:lpstr>'CRA Récapitulatif'!Zone_d_impression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Jeau-Marc Stoeffler</dc:creator>
  <cp:keywords/>
  <dc:description/>
  <cp:lastModifiedBy>SCHMITZ Grégory (P)</cp:lastModifiedBy>
  <cp:revision/>
  <dcterms:created xsi:type="dcterms:W3CDTF">1999-10-26T09:46:59Z</dcterms:created>
  <dcterms:modified xsi:type="dcterms:W3CDTF">2015-05-19T15:09:35Z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

<file path=userCustomization/customUI.xml><?xml version="1.0" encoding="utf-8"?>
<mso:customUI xmlns:mso="http://schemas.microsoft.com/office/2006/01/customui">
  <mso:ribbon>
    <mso:qat>
      <mso:documentControls>
        <mso:control idQ="mso:DesignMode" visible="true"/>
        <mso:control idQ="mso:ControlProperties" visible="true"/>
      </mso:documentControls>
    </mso:qat>
  </mso:ribbon>
</mso:customUI>
</file>