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480" yWindow="75" windowWidth="7980" windowHeight="3930" tabRatio="703" activeTab="2"/>
  </bookViews>
  <sheets>
    <sheet name="Matrice" sheetId="20" r:id="rId1"/>
    <sheet name="CRA Récapitulatif" sheetId="17" r:id="rId2"/>
    <sheet name="CRA Mensuel" sheetId="39" r:id="rId3"/>
  </sheets>
  <functionGroups builtInGroupCount="17"/>
  <externalReferences>
    <externalReference r:id="rId4"/>
  </externalReferences>
  <definedNames>
    <definedName name="annee">#REF!</definedName>
    <definedName name="AnneeCourante">#REF!</definedName>
    <definedName name="bdd">'CRA Récapitulatif'!$G$10:$AK$21</definedName>
    <definedName name="DateDebut">#REF!</definedName>
    <definedName name="DateEnreg">#REF!</definedName>
    <definedName name="DateFin">#REF!</definedName>
    <definedName name="dimanche">#REF!</definedName>
    <definedName name="dimanche_15">#REF!</definedName>
    <definedName name="dimanche_15_1">#REF!</definedName>
    <definedName name="jeudi">#REF!</definedName>
    <definedName name="jeudi_15">#REF!</definedName>
    <definedName name="jeudi_15_1">#REF!</definedName>
    <definedName name="Jfr">[1]Data!$C$3:$C$12</definedName>
    <definedName name="Jour">'CRA Récapitulatif'!$G$9:$AK$9</definedName>
    <definedName name="lundi">#REF!</definedName>
    <definedName name="lundi_15">#REF!</definedName>
    <definedName name="lundi_15_1">#REF!</definedName>
    <definedName name="lundi1">#REF!</definedName>
    <definedName name="mardi">#REF!</definedName>
    <definedName name="mardi_15">#REF!</definedName>
    <definedName name="mardi_15_1">#REF!</definedName>
    <definedName name="mercredi">#REF!</definedName>
    <definedName name="mercredi_15">#REF!</definedName>
    <definedName name="mercredi_15_1">#REF!</definedName>
    <definedName name="Mois">'CRA Récapitulatif'!$B$10:$B$21</definedName>
    <definedName name="MotifVide">#REF!</definedName>
    <definedName name="régime_15j">#REF!</definedName>
    <definedName name="samedi">#REF!</definedName>
    <definedName name="samedi_15">#REF!</definedName>
    <definedName name="samedi_15_1">#REF!</definedName>
    <definedName name="Selection_Mois_CRA" localSheetId="2">#REF!</definedName>
    <definedName name="Selection_Mois_CRA" localSheetId="1">#REF!</definedName>
    <definedName name="sp">#REF!</definedName>
    <definedName name="StatutSamedi">#REF!</definedName>
    <definedName name="une_minute">#REF!</definedName>
    <definedName name="vendredi">#REF!</definedName>
    <definedName name="vendredi_15">#REF!</definedName>
    <definedName name="vendredi_15_1">#REF!</definedName>
    <definedName name="_xlnm.Print_Area" localSheetId="2">'CRA Mensuel'!$A$1:$AN$21</definedName>
    <definedName name="_xlnm.Print_Area" localSheetId="1">'CRA Récapitulatif'!$A$2:$AM$33</definedName>
  </definedNames>
  <calcPr calcId="145621"/>
</workbook>
</file>

<file path=xl/calcChain.xml><?xml version="1.0" encoding="utf-8"?>
<calcChain xmlns="http://schemas.openxmlformats.org/spreadsheetml/2006/main">
  <c r="G23" i="39" l="1"/>
  <c r="G22" i="39"/>
  <c r="G9" i="39" a="1"/>
  <c r="G9" i="39" s="1"/>
  <c r="B10" i="17"/>
  <c r="B11" i="17"/>
  <c r="B12" i="17"/>
  <c r="B13" i="17"/>
  <c r="B14" i="17"/>
  <c r="B15" i="17"/>
  <c r="B16" i="17"/>
  <c r="B17" i="17"/>
  <c r="B18" i="17"/>
  <c r="B19" i="17"/>
  <c r="B20" i="17"/>
  <c r="B21" i="17"/>
  <c r="B2" i="17" l="1"/>
  <c r="C10" i="17"/>
  <c r="AK8" i="39" l="1"/>
  <c r="AJ8" i="39"/>
  <c r="AI8" i="39"/>
  <c r="AH8" i="39"/>
  <c r="AG8" i="39"/>
  <c r="AF8" i="39"/>
  <c r="AE8" i="39"/>
  <c r="AD8" i="39"/>
  <c r="AC8" i="39"/>
  <c r="AB8" i="39"/>
  <c r="AA8" i="39"/>
  <c r="Z8" i="39"/>
  <c r="Y8" i="39"/>
  <c r="X8" i="39"/>
  <c r="W8" i="39"/>
  <c r="V8" i="39"/>
  <c r="U8" i="39"/>
  <c r="T8" i="39"/>
  <c r="S8" i="39"/>
  <c r="R8" i="39"/>
  <c r="Q8" i="39"/>
  <c r="P8" i="39"/>
  <c r="O8" i="39"/>
  <c r="N8" i="39"/>
  <c r="M8" i="39"/>
  <c r="L8" i="39"/>
  <c r="K8" i="39"/>
  <c r="J8" i="39"/>
  <c r="I8" i="39"/>
  <c r="H8" i="39"/>
  <c r="G8" i="39" l="1"/>
  <c r="F1" i="20" l="1"/>
  <c r="F2" i="20" s="1"/>
  <c r="M21" i="20"/>
  <c r="L21" i="20"/>
  <c r="K21" i="20"/>
  <c r="J21" i="20"/>
  <c r="I21" i="20"/>
  <c r="I22" i="20"/>
  <c r="H21" i="20"/>
  <c r="G21" i="20"/>
  <c r="F21" i="20"/>
  <c r="E21" i="20"/>
  <c r="E22" i="20" s="1"/>
  <c r="D21" i="20"/>
  <c r="C21" i="20"/>
  <c r="B21" i="20"/>
  <c r="C20" i="20"/>
  <c r="D20" i="20"/>
  <c r="E20" i="20"/>
  <c r="F20" i="20"/>
  <c r="G20" i="20"/>
  <c r="H20" i="20"/>
  <c r="I20" i="20"/>
  <c r="J20" i="20"/>
  <c r="K20" i="20"/>
  <c r="L20" i="20"/>
  <c r="M20" i="20"/>
  <c r="F3" i="20"/>
  <c r="F4" i="20" s="1"/>
  <c r="F5" i="20" s="1"/>
  <c r="F6" i="20" s="1"/>
  <c r="F7" i="20" s="1"/>
  <c r="F8" i="20"/>
  <c r="F9" i="20"/>
  <c r="F10" i="20" s="1"/>
  <c r="F11" i="20" s="1"/>
  <c r="F12" i="20" s="1"/>
  <c r="F13" i="20" s="1"/>
  <c r="F14" i="20" s="1"/>
  <c r="AL14" i="17"/>
  <c r="D14" i="17" s="1"/>
  <c r="AL20" i="17"/>
  <c r="D20" i="17" s="1"/>
  <c r="AL18" i="17"/>
  <c r="D18" i="17" s="1"/>
  <c r="C9" i="39"/>
  <c r="B5" i="39"/>
  <c r="B3" i="39"/>
  <c r="B2" i="39"/>
  <c r="G9" i="17"/>
  <c r="H9" i="17" s="1"/>
  <c r="I9" i="17" s="1"/>
  <c r="J9" i="17" s="1"/>
  <c r="K9" i="17" s="1"/>
  <c r="L9" i="17" s="1"/>
  <c r="M9" i="17" s="1"/>
  <c r="N9" i="17" s="1"/>
  <c r="O9" i="17" s="1"/>
  <c r="P9" i="17" s="1"/>
  <c r="Q9" i="17" s="1"/>
  <c r="R9" i="17" s="1"/>
  <c r="S9" i="17" s="1"/>
  <c r="T9" i="17" s="1"/>
  <c r="U9" i="17" s="1"/>
  <c r="V9" i="17" s="1"/>
  <c r="W9" i="17" s="1"/>
  <c r="X9" i="17" s="1"/>
  <c r="Y9" i="17" s="1"/>
  <c r="Z9" i="17" s="1"/>
  <c r="AA9" i="17" s="1"/>
  <c r="AB9" i="17" s="1"/>
  <c r="AC9" i="17" s="1"/>
  <c r="AD9" i="17" s="1"/>
  <c r="AE9" i="17" s="1"/>
  <c r="AF9" i="17" s="1"/>
  <c r="AG9" i="17" s="1"/>
  <c r="AH9" i="17" s="1"/>
  <c r="AI9" i="17" s="1"/>
  <c r="AJ9" i="17" s="1"/>
  <c r="AK9" i="17" s="1"/>
  <c r="B6" i="17"/>
  <c r="B4" i="17"/>
  <c r="B3" i="17"/>
  <c r="B15" i="20"/>
  <c r="C24" i="20"/>
  <c r="A9" i="20"/>
  <c r="K24" i="20"/>
  <c r="J24" i="20"/>
  <c r="I24" i="20"/>
  <c r="H24" i="20"/>
  <c r="G24" i="20"/>
  <c r="E24" i="20"/>
  <c r="D24" i="20"/>
  <c r="B24" i="20"/>
  <c r="B20" i="20"/>
  <c r="C22" i="20"/>
  <c r="F22" i="20"/>
  <c r="M22" i="20"/>
  <c r="J22" i="20"/>
  <c r="K22" i="20"/>
  <c r="L22" i="20"/>
  <c r="AL13" i="17" l="1"/>
  <c r="D13" i="17" s="1"/>
  <c r="AL11" i="17"/>
  <c r="D11" i="17" s="1"/>
  <c r="B22" i="20"/>
  <c r="AL15" i="17"/>
  <c r="D15" i="17" s="1"/>
  <c r="F15" i="20"/>
  <c r="F16" i="20" s="1"/>
  <c r="AL17" i="17"/>
  <c r="D17" i="17" s="1"/>
  <c r="AL10" i="17"/>
  <c r="D10" i="17" s="1"/>
  <c r="E10" i="17" s="1"/>
  <c r="C11" i="17" s="1"/>
  <c r="E11" i="17" s="1"/>
  <c r="C12" i="17" s="1"/>
  <c r="E12" i="17" s="1"/>
  <c r="C13" i="17" s="1"/>
  <c r="E13" i="17" s="1"/>
  <c r="C14" i="17" s="1"/>
  <c r="E14" i="17" s="1"/>
  <c r="C15" i="17" s="1"/>
  <c r="E15" i="17" s="1"/>
  <c r="C16" i="17" s="1"/>
  <c r="AL16" i="17"/>
  <c r="D16" i="17" s="1"/>
  <c r="AL21" i="17"/>
  <c r="D21" i="17" s="1"/>
  <c r="H22" i="20"/>
  <c r="AL19" i="17"/>
  <c r="D19" i="17" s="1"/>
  <c r="D22" i="20"/>
  <c r="F24" i="20"/>
  <c r="L24" i="20"/>
  <c r="G22" i="20"/>
  <c r="AL12" i="17"/>
  <c r="D12" i="17" s="1"/>
  <c r="E16" i="17" l="1"/>
  <c r="C17" i="17" s="1"/>
  <c r="E17" i="17" s="1"/>
  <c r="C18" i="17" s="1"/>
  <c r="E18" i="17" s="1"/>
  <c r="C19" i="17" s="1"/>
  <c r="E19" i="17" s="1"/>
  <c r="C20" i="17" s="1"/>
  <c r="E20" i="17" s="1"/>
  <c r="C21" i="17" s="1"/>
  <c r="E21" i="17" s="1"/>
  <c r="AL22" i="17"/>
  <c r="AL9" i="39" l="1"/>
  <c r="D9" i="39"/>
  <c r="E9" i="39" s="1"/>
</calcChain>
</file>

<file path=xl/sharedStrings.xml><?xml version="1.0" encoding="utf-8"?>
<sst xmlns="http://schemas.openxmlformats.org/spreadsheetml/2006/main" count="128" uniqueCount="55">
  <si>
    <t>TVA</t>
  </si>
  <si>
    <t>Année</t>
  </si>
  <si>
    <t>Mois</t>
  </si>
  <si>
    <t>Nb jour</t>
  </si>
  <si>
    <t>Jours fériés</t>
  </si>
  <si>
    <t>Période :</t>
  </si>
  <si>
    <t>Mission :</t>
  </si>
  <si>
    <t>Taux de facturation</t>
  </si>
  <si>
    <t>TOTAL</t>
  </si>
  <si>
    <t>BON POUR PRESTATION CONFORME</t>
  </si>
  <si>
    <t>Signature</t>
  </si>
  <si>
    <t>Responsable Client</t>
  </si>
  <si>
    <t>RAF à M-1</t>
  </si>
  <si>
    <t>RAF</t>
  </si>
  <si>
    <t>TJM</t>
  </si>
  <si>
    <t>Tx provisions pour charges</t>
  </si>
  <si>
    <t>Total du mois</t>
  </si>
  <si>
    <t>Porteur</t>
  </si>
  <si>
    <t>N° de contrat</t>
  </si>
  <si>
    <t>Mission</t>
  </si>
  <si>
    <t>Jour de l'an</t>
  </si>
  <si>
    <t>Lundi de Pâques</t>
  </si>
  <si>
    <t>Fête du Travail</t>
  </si>
  <si>
    <t>Ascension </t>
  </si>
  <si>
    <t>Lundi de Pentecôte</t>
  </si>
  <si>
    <t>Assomption </t>
  </si>
  <si>
    <t>Toussaint </t>
  </si>
  <si>
    <t>Noël</t>
  </si>
  <si>
    <t>14/18</t>
  </si>
  <si>
    <t>39/45</t>
  </si>
  <si>
    <t>14 Juillet</t>
  </si>
  <si>
    <t>Dates fériées</t>
  </si>
  <si>
    <t>Pâques</t>
  </si>
  <si>
    <t>N° de siren</t>
  </si>
  <si>
    <r>
      <rPr>
        <b/>
        <sz val="12"/>
        <rFont val="Arial"/>
        <family val="2"/>
      </rPr>
      <t>Contrat</t>
    </r>
    <r>
      <rPr>
        <sz val="12"/>
        <rFont val="Arial"/>
        <family val="2"/>
      </rPr>
      <t xml:space="preserve"> :</t>
    </r>
  </si>
  <si>
    <r>
      <rPr>
        <b/>
        <sz val="12"/>
        <rFont val="Arial"/>
        <family val="2"/>
      </rPr>
      <t>Prestation de</t>
    </r>
    <r>
      <rPr>
        <sz val="12"/>
        <rFont val="Arial"/>
        <family val="2"/>
      </rPr>
      <t xml:space="preserve"> :</t>
    </r>
  </si>
  <si>
    <r>
      <rPr>
        <b/>
        <sz val="12"/>
        <rFont val="Arial"/>
        <family val="2"/>
      </rPr>
      <t>Fin de mission</t>
    </r>
    <r>
      <rPr>
        <sz val="12"/>
        <rFont val="Arial"/>
        <family val="2"/>
      </rPr>
      <t xml:space="preserve"> :</t>
    </r>
  </si>
  <si>
    <t>Fin de Mission</t>
  </si>
  <si>
    <t>Contrat :</t>
  </si>
  <si>
    <t>Prestation de :</t>
  </si>
  <si>
    <t>Fin de mission :</t>
  </si>
  <si>
    <t>Année :</t>
  </si>
  <si>
    <t>Responsable Client :</t>
  </si>
  <si>
    <r>
      <rPr>
        <b/>
        <sz val="12"/>
        <rFont val="Arial"/>
        <family val="2"/>
      </rPr>
      <t>Mission</t>
    </r>
    <r>
      <rPr>
        <sz val="12"/>
        <rFont val="Arial"/>
        <family val="2"/>
      </rPr>
      <t xml:space="preserve"> :</t>
    </r>
  </si>
  <si>
    <t>A l'attention de :</t>
  </si>
  <si>
    <t>Adresse</t>
  </si>
  <si>
    <t>CP/Ville</t>
  </si>
  <si>
    <t>Nombre de jour du contrat</t>
  </si>
  <si>
    <t>RAF fin de mois</t>
  </si>
  <si>
    <t>RAF Début de mois</t>
  </si>
  <si>
    <t>N° TVA Intra</t>
  </si>
  <si>
    <t>Tx de prov</t>
  </si>
  <si>
    <t/>
  </si>
  <si>
    <t>TEXTE($B$9;"mmmm")</t>
  </si>
  <si>
    <t>TEXTE(G$8;"jj")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</si>
</sst>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yyyy"/>
    <numFmt numFmtId="165" formatCode="mmmm\ yyyy"/>
    <numFmt numFmtId="166" formatCode="mmm\ yyyy"/>
    <numFmt numFmtId="168" formatCode="0.0%"/>
    <numFmt numFmtId="172" formatCode="mmmm"/>
    <numFmt numFmtId="173" formatCode="d"/>
    <numFmt numFmtId="174" formatCode="dd"/>
    <numFmt numFmtId="175" formatCode="00"/>
    <numFmt numFmtId="176" formatCode="m"/>
    <numFmt numFmtId="178" formatCode="0.0000"/>
  </numFmts>
  <fonts count="8" x14ac:knownFonts="1">
    <font>
      <sz val="10"/>
      <name val="Arial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sz val="10"/>
      <color rgb="FF0070C0"/>
      <name val="Arial"/>
      <family val="2"/>
    </font>
    <font>
      <sz val="10"/>
      <color theme="0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lightUp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33CC"/>
        <bgColor indexed="64"/>
      </patternFill>
    </fill>
    <fill>
      <patternFill patternType="lightUp">
        <bgColor theme="0"/>
      </patternFill>
    </fill>
    <fill>
      <patternFill patternType="lightUp">
        <bgColor theme="3" tint="0.39997558519241921"/>
      </patternFill>
    </fill>
    <fill>
      <patternFill patternType="lightUp">
        <bgColor rgb="FFFF33CC"/>
      </patternFill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theme="0"/>
      </left>
      <right/>
      <top style="thin">
        <color rgb="FFFF4747"/>
      </top>
      <bottom style="thin">
        <color theme="0"/>
      </bottom>
      <diagonal/>
    </border>
    <border>
      <left/>
      <right/>
      <top style="thin">
        <color rgb="FFFF4747"/>
      </top>
      <bottom style="thin">
        <color theme="0"/>
      </bottom>
      <diagonal/>
    </border>
    <border>
      <left/>
      <right style="thin">
        <color theme="0"/>
      </right>
      <top style="thin">
        <color rgb="FFFF4747"/>
      </top>
      <bottom style="thin">
        <color theme="0"/>
      </bottom>
      <diagonal/>
    </border>
    <border>
      <left style="thin">
        <color rgb="FFFF4747"/>
      </left>
      <right/>
      <top style="thin">
        <color rgb="FFFF4747"/>
      </top>
      <bottom style="thin">
        <color rgb="FFFF4747"/>
      </bottom>
      <diagonal/>
    </border>
    <border>
      <left/>
      <right/>
      <top style="thin">
        <color rgb="FFFF4747"/>
      </top>
      <bottom style="thin">
        <color rgb="FFFF4747"/>
      </bottom>
      <diagonal/>
    </border>
    <border>
      <left/>
      <right style="thin">
        <color rgb="FFFF4747"/>
      </right>
      <top style="thin">
        <color rgb="FFFF4747"/>
      </top>
      <bottom style="thin">
        <color rgb="FFFF4747"/>
      </bottom>
      <diagonal/>
    </border>
    <border>
      <left style="thin">
        <color theme="0"/>
      </left>
      <right/>
      <top style="thin">
        <color rgb="FFFF4747"/>
      </top>
      <bottom style="thin">
        <color rgb="FFFF4747"/>
      </bottom>
      <diagonal/>
    </border>
    <border>
      <left/>
      <right style="thin">
        <color theme="0"/>
      </right>
      <top style="thin">
        <color rgb="FFFF4747"/>
      </top>
      <bottom style="thin">
        <color rgb="FFFF4747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rgb="FFFF4747"/>
      </left>
      <right style="thin">
        <color rgb="FFFF4747"/>
      </right>
      <top style="thin">
        <color rgb="FFFF4747"/>
      </top>
      <bottom style="thin">
        <color rgb="FFFF4747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theme="0"/>
      </left>
      <right/>
      <top style="thin">
        <color theme="0"/>
      </top>
      <bottom style="thin">
        <color rgb="FFFF0000"/>
      </bottom>
      <diagonal/>
    </border>
    <border>
      <left/>
      <right/>
      <top style="thin">
        <color theme="0"/>
      </top>
      <bottom style="thin">
        <color rgb="FFFF0000"/>
      </bottom>
      <diagonal/>
    </border>
    <border>
      <left/>
      <right style="thin">
        <color theme="0"/>
      </right>
      <top style="thin">
        <color theme="0"/>
      </top>
      <bottom style="thin">
        <color rgb="FFFF0000"/>
      </bottom>
      <diagonal/>
    </border>
  </borders>
  <cellStyleXfs count="2">
    <xf numFmtId="0" fontId="0" fillId="0" borderId="0"/>
    <xf numFmtId="0" fontId="1" fillId="0" borderId="0"/>
  </cellStyleXfs>
  <cellXfs count="134">
    <xf numFmtId="0" fontId="0" fillId="0" borderId="0" xfId="0"/>
    <xf numFmtId="0" fontId="1" fillId="4" borderId="0" xfId="1" applyFill="1"/>
    <xf numFmtId="0" fontId="2" fillId="4" borderId="0" xfId="1" applyFont="1" applyFill="1" applyAlignment="1">
      <alignment horizontal="left" vertical="center"/>
    </xf>
    <xf numFmtId="0" fontId="2" fillId="4" borderId="0" xfId="1" applyFont="1" applyFill="1"/>
    <xf numFmtId="165" fontId="2" fillId="4" borderId="0" xfId="1" applyNumberFormat="1" applyFont="1" applyFill="1" applyAlignment="1">
      <alignment horizontal="left" vertical="center"/>
    </xf>
    <xf numFmtId="166" fontId="3" fillId="4" borderId="0" xfId="1" applyNumberFormat="1" applyFont="1" applyFill="1" applyAlignment="1">
      <alignment horizontal="left" vertical="center"/>
    </xf>
    <xf numFmtId="166" fontId="3" fillId="4" borderId="0" xfId="1" applyNumberFormat="1" applyFont="1" applyFill="1" applyBorder="1" applyAlignment="1">
      <alignment horizontal="left" vertical="center"/>
    </xf>
    <xf numFmtId="0" fontId="2" fillId="4" borderId="0" xfId="1" applyFont="1" applyFill="1" applyBorder="1"/>
    <xf numFmtId="0" fontId="4" fillId="5" borderId="2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2" fillId="4" borderId="3" xfId="1" applyFont="1" applyFill="1" applyBorder="1" applyAlignment="1"/>
    <xf numFmtId="0" fontId="2" fillId="4" borderId="4" xfId="1" applyFont="1" applyFill="1" applyBorder="1" applyAlignment="1"/>
    <xf numFmtId="0" fontId="2" fillId="4" borderId="16" xfId="1" applyFont="1" applyFill="1" applyBorder="1"/>
    <xf numFmtId="0" fontId="2" fillId="4" borderId="0" xfId="1" applyFont="1" applyFill="1" applyBorder="1" applyAlignment="1"/>
    <xf numFmtId="0" fontId="2" fillId="4" borderId="5" xfId="1" applyFont="1" applyFill="1" applyBorder="1" applyAlignment="1"/>
    <xf numFmtId="0" fontId="2" fillId="4" borderId="17" xfId="1" applyFont="1" applyFill="1" applyBorder="1"/>
    <xf numFmtId="0" fontId="2" fillId="4" borderId="0" xfId="1" applyFont="1" applyFill="1" applyBorder="1" applyAlignment="1">
      <alignment horizontal="center"/>
    </xf>
    <xf numFmtId="0" fontId="2" fillId="4" borderId="5" xfId="1" applyFont="1" applyFill="1" applyBorder="1" applyAlignment="1">
      <alignment horizontal="center"/>
    </xf>
    <xf numFmtId="0" fontId="2" fillId="4" borderId="6" xfId="1" applyFont="1" applyFill="1" applyBorder="1" applyAlignment="1">
      <alignment horizontal="center"/>
    </xf>
    <xf numFmtId="0" fontId="2" fillId="4" borderId="7" xfId="1" applyFont="1" applyFill="1" applyBorder="1" applyAlignment="1">
      <alignment horizontal="center"/>
    </xf>
    <xf numFmtId="0" fontId="2" fillId="4" borderId="18" xfId="1" applyFont="1" applyFill="1" applyBorder="1"/>
    <xf numFmtId="0" fontId="2" fillId="4" borderId="0" xfId="1" applyFont="1" applyFill="1" applyBorder="1" applyAlignment="1">
      <alignment horizontal="left" vertical="center"/>
    </xf>
    <xf numFmtId="166" fontId="2" fillId="6" borderId="2" xfId="1" applyNumberFormat="1" applyFont="1" applyFill="1" applyBorder="1" applyAlignment="1">
      <alignment horizontal="center" vertical="top" wrapText="1"/>
    </xf>
    <xf numFmtId="165" fontId="3" fillId="4" borderId="8" xfId="1" applyNumberFormat="1" applyFont="1" applyFill="1" applyBorder="1" applyAlignment="1">
      <alignment horizontal="left" vertical="center"/>
    </xf>
    <xf numFmtId="0" fontId="3" fillId="4" borderId="0" xfId="1" applyFont="1" applyFill="1" applyAlignment="1">
      <alignment horizontal="left" vertical="center"/>
    </xf>
    <xf numFmtId="0" fontId="1" fillId="2" borderId="19" xfId="1" applyFill="1" applyBorder="1"/>
    <xf numFmtId="0" fontId="2" fillId="4" borderId="0" xfId="1" applyFont="1" applyFill="1" applyAlignment="1">
      <alignment horizontal="right" vertical="center"/>
    </xf>
    <xf numFmtId="0" fontId="2" fillId="4" borderId="0" xfId="1" applyFont="1" applyFill="1" applyAlignment="1">
      <alignment horizontal="right"/>
    </xf>
    <xf numFmtId="49" fontId="2" fillId="4" borderId="0" xfId="1" applyNumberFormat="1" applyFont="1" applyFill="1" applyAlignment="1">
      <alignment horizontal="left" vertical="center"/>
    </xf>
    <xf numFmtId="0" fontId="2" fillId="4" borderId="1" xfId="1" applyFont="1" applyFill="1" applyBorder="1" applyAlignment="1">
      <alignment horizontal="right" vertical="center"/>
    </xf>
    <xf numFmtId="0" fontId="3" fillId="4" borderId="0" xfId="1" applyFont="1" applyFill="1" applyAlignment="1">
      <alignment horizontal="right" vertical="center"/>
    </xf>
    <xf numFmtId="0" fontId="3" fillId="4" borderId="0" xfId="1" applyFont="1" applyFill="1" applyAlignment="1">
      <alignment horizontal="right"/>
    </xf>
    <xf numFmtId="174" fontId="2" fillId="4" borderId="0" xfId="1" applyNumberFormat="1" applyFont="1" applyFill="1"/>
    <xf numFmtId="14" fontId="2" fillId="4" borderId="0" xfId="1" applyNumberFormat="1" applyFont="1" applyFill="1"/>
    <xf numFmtId="166" fontId="2" fillId="7" borderId="2" xfId="1" applyNumberFormat="1" applyFont="1" applyFill="1" applyBorder="1" applyAlignment="1">
      <alignment horizontal="center" vertical="top" wrapText="1"/>
    </xf>
    <xf numFmtId="175" fontId="2" fillId="8" borderId="2" xfId="0" applyNumberFormat="1" applyFont="1" applyFill="1" applyBorder="1" applyAlignment="1">
      <alignment horizontal="center" vertical="center" shrinkToFit="1"/>
    </xf>
    <xf numFmtId="0" fontId="4" fillId="9" borderId="2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right" vertical="center"/>
    </xf>
    <xf numFmtId="0" fontId="5" fillId="4" borderId="0" xfId="1" applyFont="1" applyFill="1" applyAlignment="1">
      <alignment horizontal="left" vertical="center"/>
    </xf>
    <xf numFmtId="172" fontId="2" fillId="10" borderId="8" xfId="1" applyNumberFormat="1" applyFont="1" applyFill="1" applyBorder="1" applyAlignment="1">
      <alignment horizontal="left" vertical="center"/>
    </xf>
    <xf numFmtId="0" fontId="4" fillId="11" borderId="2" xfId="1" applyFont="1" applyFill="1" applyBorder="1" applyAlignment="1">
      <alignment horizontal="center" vertical="center"/>
    </xf>
    <xf numFmtId="49" fontId="2" fillId="4" borderId="2" xfId="1" applyNumberFormat="1" applyFont="1" applyFill="1" applyBorder="1" applyAlignment="1">
      <alignment horizontal="center" vertical="center"/>
    </xf>
    <xf numFmtId="0" fontId="0" fillId="4" borderId="0" xfId="0" applyFill="1"/>
    <xf numFmtId="164" fontId="1" fillId="4" borderId="0" xfId="0" applyNumberFormat="1" applyFont="1" applyFill="1" applyAlignment="1">
      <alignment horizontal="left" vertical="top" wrapText="1"/>
    </xf>
    <xf numFmtId="0" fontId="1" fillId="4" borderId="0" xfId="0" applyFont="1" applyFill="1" applyAlignment="1">
      <alignment horizontal="left" vertical="top" wrapText="1"/>
    </xf>
    <xf numFmtId="172" fontId="0" fillId="4" borderId="0" xfId="0" applyNumberFormat="1" applyFill="1"/>
    <xf numFmtId="14" fontId="1" fillId="12" borderId="0" xfId="1" applyNumberFormat="1" applyFont="1" applyFill="1" applyAlignment="1">
      <alignment horizontal="center" vertical="center"/>
    </xf>
    <xf numFmtId="0" fontId="1" fillId="12" borderId="0" xfId="0" applyFont="1" applyFill="1" applyAlignment="1">
      <alignment horizontal="center" vertical="center"/>
    </xf>
    <xf numFmtId="49" fontId="1" fillId="12" borderId="0" xfId="0" applyNumberFormat="1" applyFont="1" applyFill="1" applyAlignment="1">
      <alignment horizontal="center" vertical="center"/>
    </xf>
    <xf numFmtId="0" fontId="0" fillId="12" borderId="0" xfId="0" applyFill="1"/>
    <xf numFmtId="14" fontId="1" fillId="12" borderId="0" xfId="0" applyNumberFormat="1" applyFont="1" applyFill="1" applyAlignment="1">
      <alignment horizontal="center" vertical="center"/>
    </xf>
    <xf numFmtId="0" fontId="6" fillId="12" borderId="0" xfId="0" applyFont="1" applyFill="1" applyAlignment="1">
      <alignment horizontal="center" vertical="center"/>
    </xf>
    <xf numFmtId="14" fontId="6" fillId="12" borderId="0" xfId="0" applyNumberFormat="1" applyFont="1" applyFill="1" applyAlignment="1">
      <alignment horizontal="center" vertical="center"/>
    </xf>
    <xf numFmtId="0" fontId="1" fillId="13" borderId="20" xfId="1" quotePrefix="1" applyFont="1" applyFill="1" applyBorder="1" applyAlignment="1">
      <alignment horizontal="left" vertical="center"/>
    </xf>
    <xf numFmtId="0" fontId="1" fillId="13" borderId="20" xfId="1" applyFont="1" applyFill="1" applyBorder="1" applyAlignment="1">
      <alignment horizontal="left" vertical="center"/>
    </xf>
    <xf numFmtId="0" fontId="1" fillId="13" borderId="19" xfId="1" applyFont="1" applyFill="1" applyBorder="1" applyAlignment="1">
      <alignment horizontal="left" vertical="center"/>
    </xf>
    <xf numFmtId="0" fontId="1" fillId="13" borderId="19" xfId="1" quotePrefix="1" applyFont="1" applyFill="1" applyBorder="1" applyAlignment="1">
      <alignment horizontal="left" vertical="center"/>
    </xf>
    <xf numFmtId="0" fontId="7" fillId="4" borderId="0" xfId="0" applyFont="1" applyFill="1"/>
    <xf numFmtId="0" fontId="1" fillId="14" borderId="0" xfId="1" applyNumberFormat="1" applyFill="1" applyAlignment="1">
      <alignment horizontal="center" vertical="center"/>
    </xf>
    <xf numFmtId="176" fontId="0" fillId="14" borderId="0" xfId="0" applyNumberFormat="1" applyFill="1" applyAlignment="1">
      <alignment horizontal="center"/>
    </xf>
    <xf numFmtId="0" fontId="1" fillId="12" borderId="0" xfId="1" applyNumberFormat="1" applyFill="1" applyAlignment="1">
      <alignment horizontal="center" vertical="center"/>
    </xf>
    <xf numFmtId="0" fontId="1" fillId="4" borderId="0" xfId="0" applyFont="1" applyFill="1"/>
    <xf numFmtId="0" fontId="3" fillId="4" borderId="0" xfId="1" applyFont="1" applyFill="1" applyAlignment="1">
      <alignment horizontal="left" vertical="center"/>
    </xf>
    <xf numFmtId="0" fontId="2" fillId="15" borderId="2" xfId="1" applyFont="1" applyFill="1" applyBorder="1" applyAlignment="1">
      <alignment horizontal="center" vertical="center"/>
    </xf>
    <xf numFmtId="0" fontId="2" fillId="16" borderId="2" xfId="1" applyFont="1" applyFill="1" applyBorder="1" applyAlignment="1">
      <alignment horizontal="center" vertical="center"/>
    </xf>
    <xf numFmtId="0" fontId="4" fillId="17" borderId="2" xfId="1" applyFont="1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18" borderId="2" xfId="1" applyFont="1" applyFill="1" applyBorder="1" applyAlignment="1">
      <alignment horizontal="center" vertical="center"/>
    </xf>
    <xf numFmtId="9" fontId="1" fillId="4" borderId="2" xfId="0" applyNumberFormat="1" applyFont="1" applyFill="1" applyBorder="1"/>
    <xf numFmtId="10" fontId="1" fillId="8" borderId="21" xfId="1" quotePrefix="1" applyNumberFormat="1" applyFont="1" applyFill="1" applyBorder="1" applyAlignment="1">
      <alignment horizontal="left" vertical="center"/>
    </xf>
    <xf numFmtId="10" fontId="1" fillId="8" borderId="22" xfId="1" quotePrefix="1" applyNumberFormat="1" applyFont="1" applyFill="1" applyBorder="1" applyAlignment="1">
      <alignment vertical="center"/>
    </xf>
    <xf numFmtId="10" fontId="1" fillId="8" borderId="23" xfId="1" quotePrefix="1" applyNumberFormat="1" applyFont="1" applyFill="1" applyBorder="1" applyAlignment="1">
      <alignment vertical="center"/>
    </xf>
    <xf numFmtId="168" fontId="0" fillId="4" borderId="0" xfId="0" applyNumberFormat="1" applyFill="1"/>
    <xf numFmtId="178" fontId="0" fillId="4" borderId="0" xfId="0" applyNumberFormat="1" applyFill="1"/>
    <xf numFmtId="173" fontId="2" fillId="4" borderId="2" xfId="1" applyNumberFormat="1" applyFont="1" applyFill="1" applyBorder="1" applyAlignment="1">
      <alignment horizontal="center" vertical="center"/>
    </xf>
    <xf numFmtId="173" fontId="2" fillId="4" borderId="0" xfId="1" applyNumberFormat="1" applyFont="1" applyFill="1"/>
    <xf numFmtId="173" fontId="4" fillId="5" borderId="2" xfId="1" applyNumberFormat="1" applyFont="1" applyFill="1" applyBorder="1" applyAlignment="1">
      <alignment horizontal="center" vertical="center"/>
    </xf>
    <xf numFmtId="1" fontId="2" fillId="4" borderId="2" xfId="1" applyNumberFormat="1" applyFont="1" applyFill="1" applyBorder="1" applyAlignment="1">
      <alignment horizontal="center" vertical="center"/>
    </xf>
    <xf numFmtId="0" fontId="1" fillId="8" borderId="30" xfId="1" quotePrefix="1" applyFont="1" applyFill="1" applyBorder="1" applyAlignment="1">
      <alignment horizontal="left" vertical="center"/>
    </xf>
    <xf numFmtId="0" fontId="1" fillId="8" borderId="28" xfId="1" quotePrefix="1" applyFont="1" applyFill="1" applyBorder="1" applyAlignment="1">
      <alignment horizontal="left" vertical="center"/>
    </xf>
    <xf numFmtId="0" fontId="1" fillId="8" borderId="31" xfId="1" quotePrefix="1" applyFont="1" applyFill="1" applyBorder="1" applyAlignment="1">
      <alignment horizontal="left" vertical="center"/>
    </xf>
    <xf numFmtId="49" fontId="1" fillId="8" borderId="32" xfId="1" applyNumberFormat="1" applyFont="1" applyFill="1" applyBorder="1" applyAlignment="1">
      <alignment horizontal="left" vertical="center"/>
    </xf>
    <xf numFmtId="14" fontId="1" fillId="8" borderId="33" xfId="1" applyNumberFormat="1" applyFont="1" applyFill="1" applyBorder="1" applyAlignment="1">
      <alignment horizontal="left" vertical="center"/>
    </xf>
    <xf numFmtId="14" fontId="1" fillId="8" borderId="34" xfId="1" applyNumberFormat="1" applyFont="1" applyFill="1" applyBorder="1" applyAlignment="1">
      <alignment horizontal="left" vertical="center"/>
    </xf>
    <xf numFmtId="14" fontId="1" fillId="8" borderId="18" xfId="1" applyNumberFormat="1" applyFont="1" applyFill="1" applyBorder="1" applyAlignment="1">
      <alignment horizontal="left" vertical="center"/>
    </xf>
    <xf numFmtId="49" fontId="1" fillId="8" borderId="35" xfId="1" applyNumberFormat="1" applyFont="1" applyFill="1" applyBorder="1" applyAlignment="1">
      <alignment horizontal="left" vertical="center"/>
    </xf>
    <xf numFmtId="0" fontId="1" fillId="8" borderId="36" xfId="1" applyFont="1" applyFill="1" applyBorder="1" applyAlignment="1">
      <alignment horizontal="left" vertical="center"/>
    </xf>
    <xf numFmtId="0" fontId="1" fillId="8" borderId="36" xfId="1" quotePrefix="1" applyFont="1" applyFill="1" applyBorder="1" applyAlignment="1">
      <alignment horizontal="left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49" fontId="1" fillId="8" borderId="27" xfId="1" applyNumberFormat="1" applyFont="1" applyFill="1" applyBorder="1" applyAlignment="1">
      <alignment horizontal="left" vertical="center"/>
    </xf>
    <xf numFmtId="49" fontId="1" fillId="8" borderId="28" xfId="1" applyNumberFormat="1" applyFont="1" applyFill="1" applyBorder="1" applyAlignment="1">
      <alignment horizontal="left" vertical="center"/>
    </xf>
    <xf numFmtId="49" fontId="1" fillId="8" borderId="29" xfId="1" applyNumberFormat="1" applyFont="1" applyFill="1" applyBorder="1" applyAlignment="1">
      <alignment horizontal="left" vertical="center"/>
    </xf>
    <xf numFmtId="0" fontId="1" fillId="8" borderId="37" xfId="1" quotePrefix="1" applyFont="1" applyFill="1" applyBorder="1" applyAlignment="1">
      <alignment horizontal="left" vertical="center"/>
    </xf>
    <xf numFmtId="0" fontId="1" fillId="8" borderId="38" xfId="1" quotePrefix="1" applyFont="1" applyFill="1" applyBorder="1" applyAlignment="1">
      <alignment horizontal="left" vertical="center"/>
    </xf>
    <xf numFmtId="0" fontId="1" fillId="8" borderId="39" xfId="1" quotePrefix="1" applyFont="1" applyFill="1" applyBorder="1" applyAlignment="1">
      <alignment horizontal="left" vertical="center"/>
    </xf>
    <xf numFmtId="0" fontId="1" fillId="8" borderId="27" xfId="1" applyFont="1" applyFill="1" applyBorder="1" applyAlignment="1">
      <alignment horizontal="left" vertical="center"/>
    </xf>
    <xf numFmtId="0" fontId="1" fillId="8" borderId="28" xfId="1" applyFont="1" applyFill="1" applyBorder="1" applyAlignment="1">
      <alignment horizontal="left" vertical="center"/>
    </xf>
    <xf numFmtId="0" fontId="1" fillId="8" borderId="29" xfId="1" applyFont="1" applyFill="1" applyBorder="1" applyAlignment="1">
      <alignment horizontal="left" vertical="center"/>
    </xf>
    <xf numFmtId="9" fontId="1" fillId="8" borderId="40" xfId="1" quotePrefix="1" applyNumberFormat="1" applyFont="1" applyFill="1" applyBorder="1" applyAlignment="1">
      <alignment horizontal="left" vertical="center"/>
    </xf>
    <xf numFmtId="9" fontId="1" fillId="8" borderId="41" xfId="1" quotePrefix="1" applyNumberFormat="1" applyFont="1" applyFill="1" applyBorder="1" applyAlignment="1">
      <alignment horizontal="left" vertical="center"/>
    </xf>
    <xf numFmtId="9" fontId="1" fillId="8" borderId="42" xfId="1" quotePrefix="1" applyNumberFormat="1" applyFont="1" applyFill="1" applyBorder="1" applyAlignment="1">
      <alignment horizontal="left" vertical="center"/>
    </xf>
    <xf numFmtId="9" fontId="1" fillId="8" borderId="24" xfId="1" quotePrefix="1" applyNumberFormat="1" applyFont="1" applyFill="1" applyBorder="1" applyAlignment="1">
      <alignment horizontal="left" vertical="center"/>
    </xf>
    <xf numFmtId="9" fontId="1" fillId="8" borderId="25" xfId="1" quotePrefix="1" applyNumberFormat="1" applyFont="1" applyFill="1" applyBorder="1" applyAlignment="1">
      <alignment horizontal="left" vertical="center"/>
    </xf>
    <xf numFmtId="9" fontId="1" fillId="8" borderId="26" xfId="1" quotePrefix="1" applyNumberFormat="1" applyFont="1" applyFill="1" applyBorder="1" applyAlignment="1">
      <alignment horizontal="left" vertical="center"/>
    </xf>
    <xf numFmtId="0" fontId="1" fillId="8" borderId="27" xfId="1" quotePrefix="1" applyFont="1" applyFill="1" applyBorder="1" applyAlignment="1">
      <alignment horizontal="left" vertical="center"/>
    </xf>
    <xf numFmtId="0" fontId="1" fillId="8" borderId="29" xfId="1" quotePrefix="1" applyFont="1" applyFill="1" applyBorder="1" applyAlignment="1">
      <alignment horizontal="left" vertical="center"/>
    </xf>
    <xf numFmtId="0" fontId="3" fillId="4" borderId="0" xfId="1" applyFont="1" applyFill="1" applyAlignment="1">
      <alignment horizontal="left" vertical="center"/>
    </xf>
    <xf numFmtId="0" fontId="2" fillId="7" borderId="10" xfId="1" applyFont="1" applyFill="1" applyBorder="1" applyAlignment="1">
      <alignment horizontal="center" vertical="center"/>
    </xf>
    <xf numFmtId="0" fontId="2" fillId="7" borderId="13" xfId="1" applyFont="1" applyFill="1" applyBorder="1" applyAlignment="1">
      <alignment horizontal="center" vertical="center"/>
    </xf>
    <xf numFmtId="0" fontId="2" fillId="7" borderId="9" xfId="1" applyFont="1" applyFill="1" applyBorder="1" applyAlignment="1">
      <alignment horizontal="center" vertical="center"/>
    </xf>
    <xf numFmtId="0" fontId="2" fillId="4" borderId="12" xfId="1" applyFont="1" applyFill="1" applyBorder="1" applyAlignment="1">
      <alignment horizontal="right" vertical="center"/>
    </xf>
    <xf numFmtId="0" fontId="2" fillId="4" borderId="4" xfId="1" applyFont="1" applyFill="1" applyBorder="1" applyAlignment="1">
      <alignment horizontal="right" vertical="center"/>
    </xf>
    <xf numFmtId="0" fontId="2" fillId="4" borderId="14" xfId="1" applyFont="1" applyFill="1" applyBorder="1" applyAlignment="1">
      <alignment horizontal="right" vertical="center"/>
    </xf>
    <xf numFmtId="0" fontId="2" fillId="4" borderId="5" xfId="1" applyFont="1" applyFill="1" applyBorder="1" applyAlignment="1">
      <alignment horizontal="right" vertical="center"/>
    </xf>
    <xf numFmtId="0" fontId="2" fillId="4" borderId="15" xfId="1" applyFont="1" applyFill="1" applyBorder="1" applyAlignment="1">
      <alignment horizontal="right" vertical="center"/>
    </xf>
    <xf numFmtId="0" fontId="2" fillId="4" borderId="7" xfId="1" applyFont="1" applyFill="1" applyBorder="1" applyAlignment="1">
      <alignment horizontal="right" vertical="center"/>
    </xf>
    <xf numFmtId="0" fontId="2" fillId="19" borderId="1" xfId="1" applyFont="1" applyFill="1" applyBorder="1" applyAlignment="1">
      <alignment horizontal="center" vertical="center"/>
    </xf>
    <xf numFmtId="0" fontId="2" fillId="19" borderId="11" xfId="1" applyFont="1" applyFill="1" applyBorder="1" applyAlignment="1">
      <alignment horizontal="center" vertical="center"/>
    </xf>
    <xf numFmtId="0" fontId="2" fillId="19" borderId="8" xfId="1" applyFont="1" applyFill="1" applyBorder="1" applyAlignment="1">
      <alignment horizontal="center" vertical="center"/>
    </xf>
    <xf numFmtId="0" fontId="2" fillId="12" borderId="1" xfId="1" applyFont="1" applyFill="1" applyBorder="1" applyAlignment="1">
      <alignment horizontal="right" vertical="center"/>
    </xf>
    <xf numFmtId="0" fontId="2" fillId="12" borderId="8" xfId="1" applyFont="1" applyFill="1" applyBorder="1" applyAlignment="1">
      <alignment horizontal="right" vertical="center"/>
    </xf>
    <xf numFmtId="0" fontId="2" fillId="12" borderId="1" xfId="1" applyFont="1" applyFill="1" applyBorder="1" applyAlignment="1">
      <alignment horizontal="left" vertical="center"/>
    </xf>
    <xf numFmtId="0" fontId="2" fillId="12" borderId="11" xfId="1" applyFont="1" applyFill="1" applyBorder="1" applyAlignment="1">
      <alignment horizontal="left" vertical="center"/>
    </xf>
    <xf numFmtId="0" fontId="2" fillId="12" borderId="8" xfId="1" applyFont="1" applyFill="1" applyBorder="1" applyAlignment="1">
      <alignment horizontal="left" vertical="center"/>
    </xf>
    <xf numFmtId="0" fontId="2" fillId="4" borderId="12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2" fillId="4" borderId="14" xfId="1" applyFont="1" applyFill="1" applyBorder="1" applyAlignment="1">
      <alignment horizontal="center" vertical="center"/>
    </xf>
    <xf numFmtId="0" fontId="2" fillId="4" borderId="5" xfId="1" applyFont="1" applyFill="1" applyBorder="1" applyAlignment="1">
      <alignment horizontal="center" vertical="center"/>
    </xf>
    <xf numFmtId="0" fontId="2" fillId="4" borderId="15" xfId="1" applyFont="1" applyFill="1" applyBorder="1" applyAlignment="1">
      <alignment horizontal="center" vertical="center"/>
    </xf>
    <xf numFmtId="0" fontId="2" fillId="4" borderId="7" xfId="1" applyFont="1" applyFill="1" applyBorder="1" applyAlignment="1">
      <alignment horizontal="center" vertical="center"/>
    </xf>
    <xf numFmtId="0" fontId="2" fillId="12" borderId="1" xfId="1" applyFont="1" applyFill="1" applyBorder="1" applyAlignment="1">
      <alignment horizontal="center" vertical="center"/>
    </xf>
    <xf numFmtId="0" fontId="2" fillId="12" borderId="11" xfId="1" applyFont="1" applyFill="1" applyBorder="1" applyAlignment="1">
      <alignment horizontal="center" vertical="center"/>
    </xf>
    <xf numFmtId="0" fontId="2" fillId="12" borderId="8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24">
    <dxf>
      <font>
        <color theme="0"/>
      </font>
      <fill>
        <patternFill patternType="solid">
          <bgColor theme="0"/>
        </patternFill>
      </fill>
      <border>
        <right/>
        <top/>
        <bottom/>
      </border>
    </dxf>
    <dxf>
      <fill>
        <patternFill>
          <bgColor theme="0" tint="-0.34998626667073579"/>
        </patternFill>
      </fill>
    </dxf>
    <dxf>
      <font>
        <color theme="0"/>
      </font>
      <fill>
        <patternFill patternType="solid">
          <bgColor theme="0"/>
        </patternFill>
      </fill>
      <border>
        <right/>
        <top/>
        <bottom/>
      </border>
    </dxf>
    <dxf>
      <font>
        <color theme="0"/>
      </font>
      <fill>
        <patternFill patternType="solid">
          <bgColor theme="0"/>
        </patternFill>
      </fill>
      <border>
        <right/>
        <top/>
        <bottom/>
      </border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theme="0"/>
      </font>
      <fill>
        <patternFill patternType="solid">
          <bgColor theme="0"/>
        </patternFill>
      </fill>
      <border>
        <right/>
        <top/>
        <bottom/>
      </border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indexed="4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Indicateurs_ED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c"/>
      <sheetName val="Menu"/>
      <sheetName val="Calcul"/>
      <sheetName val="Volumetrie"/>
      <sheetName val="Tableaux"/>
      <sheetName val="Extract Diu"/>
      <sheetName val="Extract Arch+dri"/>
      <sheetName val="Extract Dim"/>
      <sheetName val="Extract OS400"/>
      <sheetName val="DRI closes"/>
      <sheetName val="Data"/>
      <sheetName val="Historic"/>
      <sheetName val="Tab_Resp"/>
      <sheetName val="Tab_F-O"/>
      <sheetName val="Parms"/>
      <sheetName val="Calendri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3">
          <cell r="C3">
            <v>38718</v>
          </cell>
        </row>
        <row r="4">
          <cell r="C4">
            <v>38824</v>
          </cell>
        </row>
        <row r="5">
          <cell r="C5">
            <v>38838</v>
          </cell>
        </row>
        <row r="6">
          <cell r="C6">
            <v>38845</v>
          </cell>
        </row>
        <row r="7">
          <cell r="C7">
            <v>38862</v>
          </cell>
        </row>
        <row r="8">
          <cell r="C8">
            <v>38872</v>
          </cell>
        </row>
        <row r="9">
          <cell r="C9">
            <v>38912</v>
          </cell>
        </row>
        <row r="10">
          <cell r="C10">
            <v>38944</v>
          </cell>
        </row>
        <row r="11">
          <cell r="C11">
            <v>39022</v>
          </cell>
        </row>
        <row r="12">
          <cell r="C12">
            <v>39032</v>
          </cell>
        </row>
      </sheetData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1" tint="0.249977111117893"/>
  </sheetPr>
  <dimension ref="A1:M35"/>
  <sheetViews>
    <sheetView zoomScale="85" zoomScaleNormal="85" workbookViewId="0">
      <selection activeCell="H28" sqref="H28"/>
    </sheetView>
  </sheetViews>
  <sheetFormatPr baseColWidth="10" defaultRowHeight="12.75" x14ac:dyDescent="0.2"/>
  <cols>
    <col min="1" max="1" width="23.28515625" style="42" bestFit="1" customWidth="1"/>
    <col min="2" max="2" width="10.28515625" style="42" bestFit="1" customWidth="1"/>
    <col min="3" max="3" width="14.85546875" style="42" bestFit="1" customWidth="1"/>
    <col min="4" max="4" width="13" style="42" bestFit="1" customWidth="1"/>
    <col min="5" max="5" width="10.140625" style="42" bestFit="1" customWidth="1"/>
    <col min="6" max="6" width="10.28515625" style="42" bestFit="1" customWidth="1"/>
    <col min="7" max="7" width="10.140625" style="42" bestFit="1" customWidth="1"/>
    <col min="8" max="8" width="11.42578125" style="42" bestFit="1" customWidth="1"/>
    <col min="9" max="11" width="10.140625" style="42" bestFit="1" customWidth="1"/>
    <col min="12" max="12" width="17.140625" style="42" bestFit="1" customWidth="1"/>
    <col min="13" max="15" width="10.140625" style="42" bestFit="1" customWidth="1"/>
    <col min="16" max="16384" width="11.42578125" style="42"/>
  </cols>
  <sheetData>
    <row r="1" spans="1:11" x14ac:dyDescent="0.2">
      <c r="A1" s="53" t="s">
        <v>17</v>
      </c>
      <c r="B1" s="86"/>
      <c r="C1" s="87"/>
      <c r="D1" s="87"/>
      <c r="F1" s="61">
        <f>YEAR(DATE(2012,1,1))</f>
        <v>2012</v>
      </c>
      <c r="G1" s="88" t="s">
        <v>51</v>
      </c>
      <c r="H1" s="68">
        <v>0</v>
      </c>
      <c r="I1" s="61" t="s">
        <v>0</v>
      </c>
      <c r="J1" s="72">
        <v>0.19600000000000001</v>
      </c>
      <c r="K1" s="73">
        <v>0.16389999999999999</v>
      </c>
    </row>
    <row r="2" spans="1:11" x14ac:dyDescent="0.2">
      <c r="A2" s="54" t="s">
        <v>44</v>
      </c>
      <c r="B2" s="96"/>
      <c r="C2" s="97"/>
      <c r="D2" s="98"/>
      <c r="F2" s="61">
        <f>YEAR(DATE(F1+1,1,1))</f>
        <v>2013</v>
      </c>
      <c r="G2" s="89"/>
      <c r="H2" s="68">
        <v>0.05</v>
      </c>
      <c r="J2" s="72">
        <v>7.0000000000000007E-2</v>
      </c>
      <c r="K2" s="42">
        <v>6.54E-2</v>
      </c>
    </row>
    <row r="3" spans="1:11" x14ac:dyDescent="0.2">
      <c r="A3" s="54" t="s">
        <v>45</v>
      </c>
      <c r="B3" s="96"/>
      <c r="C3" s="97"/>
      <c r="D3" s="98"/>
      <c r="F3" s="61">
        <f t="shared" ref="F3:F16" si="0">YEAR(DATE(F2+1,1,1))</f>
        <v>2014</v>
      </c>
      <c r="G3" s="89"/>
      <c r="H3" s="68">
        <v>0.1</v>
      </c>
      <c r="J3" s="72">
        <v>5.5E-2</v>
      </c>
      <c r="K3" s="73">
        <v>5.2200000000000003E-2</v>
      </c>
    </row>
    <row r="4" spans="1:11" x14ac:dyDescent="0.2">
      <c r="A4" s="54" t="s">
        <v>46</v>
      </c>
      <c r="B4" s="96"/>
      <c r="C4" s="97"/>
      <c r="D4" s="98"/>
      <c r="F4" s="61">
        <f t="shared" si="0"/>
        <v>2015</v>
      </c>
      <c r="G4" s="89"/>
      <c r="H4" s="68">
        <v>0.15</v>
      </c>
    </row>
    <row r="5" spans="1:11" x14ac:dyDescent="0.2">
      <c r="A5" s="53" t="s">
        <v>18</v>
      </c>
      <c r="B5" s="105"/>
      <c r="C5" s="79"/>
      <c r="D5" s="106"/>
      <c r="F5" s="61">
        <f t="shared" si="0"/>
        <v>2016</v>
      </c>
      <c r="G5" s="89"/>
      <c r="H5" s="68">
        <v>0.2</v>
      </c>
    </row>
    <row r="6" spans="1:11" x14ac:dyDescent="0.2">
      <c r="A6" s="53" t="s">
        <v>19</v>
      </c>
      <c r="B6" s="105"/>
      <c r="C6" s="79"/>
      <c r="D6" s="106"/>
      <c r="F6" s="61">
        <f t="shared" si="0"/>
        <v>2017</v>
      </c>
      <c r="G6" s="89"/>
      <c r="H6" s="68">
        <v>0.25</v>
      </c>
    </row>
    <row r="7" spans="1:11" x14ac:dyDescent="0.2">
      <c r="A7" s="54" t="s">
        <v>37</v>
      </c>
      <c r="B7" s="90"/>
      <c r="C7" s="91"/>
      <c r="D7" s="92"/>
      <c r="F7" s="61">
        <f t="shared" si="0"/>
        <v>2018</v>
      </c>
      <c r="G7" s="89"/>
      <c r="H7" s="68">
        <v>0.3</v>
      </c>
    </row>
    <row r="8" spans="1:11" x14ac:dyDescent="0.2">
      <c r="A8" s="54" t="s">
        <v>47</v>
      </c>
      <c r="B8" s="90"/>
      <c r="C8" s="91"/>
      <c r="D8" s="92"/>
      <c r="F8" s="61">
        <f t="shared" si="0"/>
        <v>2019</v>
      </c>
      <c r="G8" s="89"/>
      <c r="H8" s="68">
        <v>0.35</v>
      </c>
    </row>
    <row r="9" spans="1:11" x14ac:dyDescent="0.2">
      <c r="A9" s="55" t="str">
        <f>"TJM "&amp;B1</f>
        <v xml:space="preserve">TJM </v>
      </c>
      <c r="B9" s="78"/>
      <c r="C9" s="79"/>
      <c r="D9" s="80"/>
      <c r="F9" s="61">
        <f t="shared" si="0"/>
        <v>2020</v>
      </c>
      <c r="G9" s="89"/>
      <c r="H9" s="68">
        <v>0.45</v>
      </c>
    </row>
    <row r="10" spans="1:11" x14ac:dyDescent="0.2">
      <c r="A10" s="53" t="s">
        <v>14</v>
      </c>
      <c r="B10" s="105"/>
      <c r="C10" s="79"/>
      <c r="D10" s="106"/>
      <c r="F10" s="61">
        <f t="shared" si="0"/>
        <v>2021</v>
      </c>
      <c r="G10" s="61"/>
      <c r="H10" s="68">
        <v>0.5</v>
      </c>
    </row>
    <row r="11" spans="1:11" x14ac:dyDescent="0.2">
      <c r="A11" s="56" t="s">
        <v>7</v>
      </c>
      <c r="B11" s="102"/>
      <c r="C11" s="103"/>
      <c r="D11" s="104"/>
      <c r="F11" s="61">
        <f t="shared" si="0"/>
        <v>2022</v>
      </c>
      <c r="H11" s="68">
        <v>0.55000000000000004</v>
      </c>
    </row>
    <row r="12" spans="1:11" x14ac:dyDescent="0.2">
      <c r="A12" s="56" t="s">
        <v>15</v>
      </c>
      <c r="B12" s="99"/>
      <c r="C12" s="100"/>
      <c r="D12" s="101"/>
      <c r="F12" s="61">
        <f t="shared" si="0"/>
        <v>2023</v>
      </c>
      <c r="H12" s="68">
        <v>0.6</v>
      </c>
    </row>
    <row r="13" spans="1:11" ht="13.5" thickBot="1" x14ac:dyDescent="0.25">
      <c r="A13" s="53" t="s">
        <v>0</v>
      </c>
      <c r="B13" s="69"/>
      <c r="C13" s="70"/>
      <c r="D13" s="71"/>
      <c r="F13" s="61">
        <f t="shared" si="0"/>
        <v>2024</v>
      </c>
      <c r="H13" s="68">
        <v>0.65</v>
      </c>
    </row>
    <row r="14" spans="1:11" ht="13.5" thickBot="1" x14ac:dyDescent="0.25">
      <c r="A14" s="53" t="s">
        <v>1</v>
      </c>
      <c r="B14" s="93">
        <v>2012</v>
      </c>
      <c r="C14" s="94"/>
      <c r="D14" s="95"/>
      <c r="F14" s="61">
        <f t="shared" si="0"/>
        <v>2025</v>
      </c>
    </row>
    <row r="15" spans="1:11" x14ac:dyDescent="0.2">
      <c r="A15" s="55" t="s">
        <v>32</v>
      </c>
      <c r="B15" s="82">
        <f>FLOOR(DAY(MINUTE(B14/38)/2+56)&amp;"/5/"&amp;B14,7)-34</f>
        <v>41007</v>
      </c>
      <c r="C15" s="83"/>
      <c r="D15" s="84"/>
      <c r="F15" s="61">
        <f t="shared" si="0"/>
        <v>2026</v>
      </c>
    </row>
    <row r="16" spans="1:11" x14ac:dyDescent="0.2">
      <c r="A16" s="53" t="s">
        <v>33</v>
      </c>
      <c r="B16" s="81"/>
      <c r="C16" s="81"/>
      <c r="D16" s="81"/>
      <c r="F16" s="61">
        <f t="shared" si="0"/>
        <v>2027</v>
      </c>
    </row>
    <row r="17" spans="1:13" x14ac:dyDescent="0.2">
      <c r="A17" s="53" t="s">
        <v>50</v>
      </c>
      <c r="B17" s="85"/>
      <c r="C17" s="85"/>
      <c r="D17" s="85"/>
      <c r="F17" s="57"/>
    </row>
    <row r="20" spans="1:13" x14ac:dyDescent="0.2">
      <c r="A20" s="25" t="s">
        <v>1</v>
      </c>
      <c r="B20" s="58">
        <f t="shared" ref="B20:M20" si="1">$B14</f>
        <v>2012</v>
      </c>
      <c r="C20" s="58">
        <f t="shared" si="1"/>
        <v>2012</v>
      </c>
      <c r="D20" s="58">
        <f t="shared" si="1"/>
        <v>2012</v>
      </c>
      <c r="E20" s="58">
        <f t="shared" si="1"/>
        <v>2012</v>
      </c>
      <c r="F20" s="58">
        <f t="shared" si="1"/>
        <v>2012</v>
      </c>
      <c r="G20" s="58">
        <f t="shared" si="1"/>
        <v>2012</v>
      </c>
      <c r="H20" s="58">
        <f t="shared" si="1"/>
        <v>2012</v>
      </c>
      <c r="I20" s="58">
        <f t="shared" si="1"/>
        <v>2012</v>
      </c>
      <c r="J20" s="58">
        <f t="shared" si="1"/>
        <v>2012</v>
      </c>
      <c r="K20" s="58">
        <f t="shared" si="1"/>
        <v>2012</v>
      </c>
      <c r="L20" s="58">
        <f t="shared" si="1"/>
        <v>2012</v>
      </c>
      <c r="M20" s="58">
        <f t="shared" si="1"/>
        <v>2012</v>
      </c>
    </row>
    <row r="21" spans="1:13" x14ac:dyDescent="0.2">
      <c r="A21" s="25" t="s">
        <v>2</v>
      </c>
      <c r="B21" s="59">
        <f>DATE($B$14,1,1)</f>
        <v>40909</v>
      </c>
      <c r="C21" s="59">
        <f>DATE($B$14,2,1)</f>
        <v>40940</v>
      </c>
      <c r="D21" s="59">
        <f>DATE($B$14,3,1)</f>
        <v>40969</v>
      </c>
      <c r="E21" s="59">
        <f>DATE($B$14,4,1)</f>
        <v>41000</v>
      </c>
      <c r="F21" s="59">
        <f>DATE($B$14,5,1)</f>
        <v>41030</v>
      </c>
      <c r="G21" s="59">
        <f>DATE($B$14,6,1)</f>
        <v>41061</v>
      </c>
      <c r="H21" s="59">
        <f>DATE($B$14,7,1)</f>
        <v>41091</v>
      </c>
      <c r="I21" s="59">
        <f>DATE($B$14,8,1)</f>
        <v>41122</v>
      </c>
      <c r="J21" s="59">
        <f>DATE($B$14,9,1)</f>
        <v>41153</v>
      </c>
      <c r="K21" s="59">
        <f>DATE($B$14,10,1)</f>
        <v>41183</v>
      </c>
      <c r="L21" s="59">
        <f>DATE($B$14,11,1)</f>
        <v>41214</v>
      </c>
      <c r="M21" s="59">
        <f>DATE($B$14,12,1)</f>
        <v>41244</v>
      </c>
    </row>
    <row r="22" spans="1:13" x14ac:dyDescent="0.2">
      <c r="A22" s="25" t="s">
        <v>3</v>
      </c>
      <c r="B22" s="60">
        <f>EOMONTH(B21,0)-(EOMONTH(B21,-1))</f>
        <v>31</v>
      </c>
      <c r="C22" s="60">
        <f t="shared" ref="C22:M22" si="2">DAY(DATE($B14,MONTH(C21)+1,1)-1)</f>
        <v>29</v>
      </c>
      <c r="D22" s="60">
        <f t="shared" si="2"/>
        <v>31</v>
      </c>
      <c r="E22" s="60">
        <f t="shared" si="2"/>
        <v>30</v>
      </c>
      <c r="F22" s="60">
        <f t="shared" si="2"/>
        <v>31</v>
      </c>
      <c r="G22" s="60">
        <f t="shared" si="2"/>
        <v>30</v>
      </c>
      <c r="H22" s="60">
        <f t="shared" si="2"/>
        <v>31</v>
      </c>
      <c r="I22" s="60">
        <f t="shared" si="2"/>
        <v>31</v>
      </c>
      <c r="J22" s="60">
        <f t="shared" si="2"/>
        <v>30</v>
      </c>
      <c r="K22" s="60">
        <f t="shared" si="2"/>
        <v>31</v>
      </c>
      <c r="L22" s="60">
        <f t="shared" si="2"/>
        <v>30</v>
      </c>
      <c r="M22" s="60">
        <f t="shared" si="2"/>
        <v>31</v>
      </c>
    </row>
    <row r="23" spans="1:13" x14ac:dyDescent="0.2">
      <c r="A23" s="25" t="s">
        <v>4</v>
      </c>
      <c r="B23" s="46" t="s">
        <v>20</v>
      </c>
      <c r="C23" s="46" t="s">
        <v>21</v>
      </c>
      <c r="D23" s="47" t="s">
        <v>22</v>
      </c>
      <c r="E23" s="47" t="s">
        <v>29</v>
      </c>
      <c r="F23" s="47" t="s">
        <v>23</v>
      </c>
      <c r="G23" s="48" t="s">
        <v>30</v>
      </c>
      <c r="H23" s="47" t="s">
        <v>25</v>
      </c>
      <c r="I23" s="47" t="s">
        <v>26</v>
      </c>
      <c r="J23" s="47" t="s">
        <v>28</v>
      </c>
      <c r="K23" s="47" t="s">
        <v>27</v>
      </c>
      <c r="L23" s="51" t="s">
        <v>24</v>
      </c>
      <c r="M23" s="49"/>
    </row>
    <row r="24" spans="1:13" x14ac:dyDescent="0.2">
      <c r="A24" s="25" t="s">
        <v>31</v>
      </c>
      <c r="B24" s="46">
        <f>DATE(B14,1,1)</f>
        <v>40909</v>
      </c>
      <c r="C24" s="46">
        <f>B15+1</f>
        <v>41008</v>
      </c>
      <c r="D24" s="46">
        <f>DATE(B14,5,1)</f>
        <v>41030</v>
      </c>
      <c r="E24" s="46">
        <f>DATE(B14,5,8)</f>
        <v>41037</v>
      </c>
      <c r="F24" s="50">
        <f>B15+39</f>
        <v>41046</v>
      </c>
      <c r="G24" s="50">
        <f>DATE(B14,7,14)</f>
        <v>41104</v>
      </c>
      <c r="H24" s="50">
        <f>DATE(B14,8,15)</f>
        <v>41136</v>
      </c>
      <c r="I24" s="50">
        <f>DATE(B14,11,1)</f>
        <v>41214</v>
      </c>
      <c r="J24" s="50">
        <f>DATE(B14,11,11)</f>
        <v>41224</v>
      </c>
      <c r="K24" s="50">
        <f>DATE(B14,12,24)</f>
        <v>41267</v>
      </c>
      <c r="L24" s="52">
        <f>B15+50</f>
        <v>41057</v>
      </c>
      <c r="M24" s="49"/>
    </row>
    <row r="31" spans="1:13" x14ac:dyDescent="0.2">
      <c r="F31" s="43"/>
    </row>
    <row r="32" spans="1:13" x14ac:dyDescent="0.2">
      <c r="F32" s="44"/>
      <c r="G32" s="45"/>
    </row>
    <row r="35" spans="3:3" x14ac:dyDescent="0.2">
      <c r="C35" s="45"/>
    </row>
  </sheetData>
  <mergeCells count="17">
    <mergeCell ref="G1:G9"/>
    <mergeCell ref="B8:D8"/>
    <mergeCell ref="B14:D14"/>
    <mergeCell ref="B4:D4"/>
    <mergeCell ref="B3:D3"/>
    <mergeCell ref="B2:D2"/>
    <mergeCell ref="B7:D7"/>
    <mergeCell ref="B12:D12"/>
    <mergeCell ref="B11:D11"/>
    <mergeCell ref="B10:D10"/>
    <mergeCell ref="B6:D6"/>
    <mergeCell ref="B5:D5"/>
    <mergeCell ref="B9:D9"/>
    <mergeCell ref="B16:D16"/>
    <mergeCell ref="B15:D15"/>
    <mergeCell ref="B17:D17"/>
    <mergeCell ref="B1:D1"/>
  </mergeCells>
  <dataValidations count="2">
    <dataValidation type="list" allowBlank="1" showInputMessage="1" showErrorMessage="1" promptTitle="Année d'activité" prompt="Sélectionnez l'année de référence" sqref="B14:D14">
      <formula1>$F$1:$F$16</formula1>
    </dataValidation>
    <dataValidation type="list" allowBlank="1" showInputMessage="1" showErrorMessage="1" promptTitle="Provisions pour charge" prompt="Selectionnez le Taux" sqref="B12:D12">
      <formula1>$H$7:$H$11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50"/>
    <pageSetUpPr fitToPage="1"/>
  </sheetPr>
  <dimension ref="A2:AL33"/>
  <sheetViews>
    <sheetView showGridLines="0" zoomScale="80" zoomScaleNormal="80" zoomScaleSheetLayoutView="100" workbookViewId="0">
      <selection activeCell="G9" sqref="G9"/>
    </sheetView>
  </sheetViews>
  <sheetFormatPr baseColWidth="10" defaultRowHeight="12.75" x14ac:dyDescent="0.2"/>
  <cols>
    <col min="1" max="1" width="19.85546875" style="1" bestFit="1" customWidth="1"/>
    <col min="2" max="2" width="13.42578125" style="1" customWidth="1"/>
    <col min="3" max="5" width="12.7109375" style="1" customWidth="1"/>
    <col min="6" max="6" width="2.85546875" style="1" customWidth="1"/>
    <col min="7" max="37" width="4.7109375" style="1" customWidth="1"/>
    <col min="38" max="38" width="8.85546875" style="1" bestFit="1" customWidth="1"/>
    <col min="39" max="16384" width="11.42578125" style="1"/>
  </cols>
  <sheetData>
    <row r="2" spans="1:38" ht="15.75" x14ac:dyDescent="0.2">
      <c r="A2" s="37" t="s">
        <v>41</v>
      </c>
      <c r="B2" s="38">
        <f>Matrice!B14</f>
        <v>2012</v>
      </c>
    </row>
    <row r="3" spans="1:38" ht="15.75" x14ac:dyDescent="0.2">
      <c r="A3" s="30" t="s">
        <v>6</v>
      </c>
      <c r="B3" s="2">
        <f>Matrice!B6</f>
        <v>0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107"/>
      <c r="Q3" s="107"/>
      <c r="R3" s="107"/>
      <c r="S3" s="107"/>
      <c r="T3" s="107"/>
      <c r="U3" s="107"/>
      <c r="V3" s="107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</row>
    <row r="4" spans="1:38" ht="15.75" x14ac:dyDescent="0.2">
      <c r="A4" s="30" t="s">
        <v>38</v>
      </c>
      <c r="B4" s="2">
        <f>Matrice!B5</f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24"/>
      <c r="Q4" s="24"/>
      <c r="R4" s="24"/>
      <c r="S4" s="24"/>
      <c r="T4" s="24"/>
      <c r="U4" s="24"/>
      <c r="V4" s="24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</row>
    <row r="5" spans="1:38" ht="15.75" x14ac:dyDescent="0.25">
      <c r="A5" s="31" t="s">
        <v>39</v>
      </c>
      <c r="B5" s="2"/>
      <c r="C5" s="2"/>
      <c r="D5" s="2"/>
      <c r="E5" s="2"/>
      <c r="F5" s="2"/>
      <c r="G5" s="2"/>
      <c r="H5" s="3"/>
      <c r="J5" s="3"/>
      <c r="K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</row>
    <row r="6" spans="1:38" ht="15.75" x14ac:dyDescent="0.25">
      <c r="A6" s="31" t="s">
        <v>40</v>
      </c>
      <c r="B6" s="28">
        <f>Matrice!B7</f>
        <v>0</v>
      </c>
      <c r="C6" s="4"/>
      <c r="D6" s="4"/>
      <c r="E6" s="4"/>
      <c r="F6" s="4"/>
      <c r="G6" s="4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</row>
    <row r="7" spans="1:38" ht="15" x14ac:dyDescent="0.2">
      <c r="A7" s="27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</row>
    <row r="8" spans="1:38" ht="15.75" x14ac:dyDescent="0.2">
      <c r="A8" s="3"/>
      <c r="B8" s="3"/>
      <c r="C8" s="3"/>
      <c r="D8" s="3"/>
      <c r="E8" s="3"/>
      <c r="F8" s="3"/>
      <c r="G8" s="3"/>
      <c r="H8" s="5"/>
      <c r="I8" s="6"/>
      <c r="J8" s="6"/>
      <c r="K8" s="5"/>
      <c r="L8" s="5"/>
      <c r="M8" s="5"/>
      <c r="N8" s="5"/>
      <c r="O8" s="3"/>
      <c r="P8" s="7"/>
      <c r="Q8" s="7"/>
      <c r="R8" s="3"/>
      <c r="S8" s="3"/>
      <c r="T8" s="3"/>
      <c r="U8" s="3"/>
      <c r="V8" s="3"/>
      <c r="W8" s="7"/>
      <c r="X8" s="7"/>
      <c r="Y8" s="7"/>
      <c r="Z8" s="3"/>
      <c r="AA8" s="3"/>
      <c r="AB8" s="3"/>
      <c r="AC8" s="3"/>
      <c r="AD8" s="7"/>
      <c r="AE8" s="7"/>
      <c r="AF8" s="3"/>
      <c r="AG8" s="3"/>
      <c r="AH8" s="3"/>
      <c r="AI8" s="3"/>
      <c r="AJ8" s="3"/>
      <c r="AK8" s="7"/>
      <c r="AL8" s="7"/>
    </row>
    <row r="9" spans="1:38" ht="32.25" customHeight="1" x14ac:dyDescent="0.2">
      <c r="A9" s="3"/>
      <c r="B9" s="3"/>
      <c r="C9" s="34" t="s">
        <v>12</v>
      </c>
      <c r="D9" s="34" t="s">
        <v>16</v>
      </c>
      <c r="E9" s="34" t="s">
        <v>13</v>
      </c>
      <c r="F9" s="3"/>
      <c r="G9" s="35">
        <f>1</f>
        <v>1</v>
      </c>
      <c r="H9" s="35">
        <f>G9+1</f>
        <v>2</v>
      </c>
      <c r="I9" s="35">
        <f t="shared" ref="I9:AK9" si="0">H9+1</f>
        <v>3</v>
      </c>
      <c r="J9" s="35">
        <f t="shared" si="0"/>
        <v>4</v>
      </c>
      <c r="K9" s="35">
        <f t="shared" si="0"/>
        <v>5</v>
      </c>
      <c r="L9" s="35">
        <f t="shared" si="0"/>
        <v>6</v>
      </c>
      <c r="M9" s="35">
        <f t="shared" si="0"/>
        <v>7</v>
      </c>
      <c r="N9" s="35">
        <f t="shared" si="0"/>
        <v>8</v>
      </c>
      <c r="O9" s="35">
        <f t="shared" si="0"/>
        <v>9</v>
      </c>
      <c r="P9" s="35">
        <f t="shared" si="0"/>
        <v>10</v>
      </c>
      <c r="Q9" s="35">
        <f t="shared" si="0"/>
        <v>11</v>
      </c>
      <c r="R9" s="35">
        <f t="shared" si="0"/>
        <v>12</v>
      </c>
      <c r="S9" s="35">
        <f t="shared" si="0"/>
        <v>13</v>
      </c>
      <c r="T9" s="35">
        <f t="shared" si="0"/>
        <v>14</v>
      </c>
      <c r="U9" s="35">
        <f t="shared" si="0"/>
        <v>15</v>
      </c>
      <c r="V9" s="35">
        <f t="shared" si="0"/>
        <v>16</v>
      </c>
      <c r="W9" s="35">
        <f t="shared" si="0"/>
        <v>17</v>
      </c>
      <c r="X9" s="35">
        <f t="shared" si="0"/>
        <v>18</v>
      </c>
      <c r="Y9" s="35">
        <f t="shared" si="0"/>
        <v>19</v>
      </c>
      <c r="Z9" s="35">
        <f t="shared" si="0"/>
        <v>20</v>
      </c>
      <c r="AA9" s="35">
        <f t="shared" si="0"/>
        <v>21</v>
      </c>
      <c r="AB9" s="35">
        <f t="shared" si="0"/>
        <v>22</v>
      </c>
      <c r="AC9" s="35">
        <f t="shared" si="0"/>
        <v>23</v>
      </c>
      <c r="AD9" s="35">
        <f t="shared" si="0"/>
        <v>24</v>
      </c>
      <c r="AE9" s="35">
        <f t="shared" si="0"/>
        <v>25</v>
      </c>
      <c r="AF9" s="35">
        <f t="shared" si="0"/>
        <v>26</v>
      </c>
      <c r="AG9" s="35">
        <f t="shared" si="0"/>
        <v>27</v>
      </c>
      <c r="AH9" s="35">
        <f t="shared" si="0"/>
        <v>28</v>
      </c>
      <c r="AI9" s="35">
        <f t="shared" si="0"/>
        <v>29</v>
      </c>
      <c r="AJ9" s="35">
        <f t="shared" si="0"/>
        <v>30</v>
      </c>
      <c r="AK9" s="35">
        <f t="shared" si="0"/>
        <v>31</v>
      </c>
      <c r="AL9" s="36" t="s">
        <v>8</v>
      </c>
    </row>
    <row r="10" spans="1:38" ht="20.100000000000001" customHeight="1" x14ac:dyDescent="0.2">
      <c r="A10" s="108" t="s">
        <v>5</v>
      </c>
      <c r="B10" s="39">
        <f>DATE(Matrice!$B$14,MONTH(Matrice!B$21),Matrice!B$22)</f>
        <v>40939</v>
      </c>
      <c r="C10" s="41">
        <f>Matrice!B8</f>
        <v>0</v>
      </c>
      <c r="D10" s="9">
        <f>AL10</f>
        <v>0</v>
      </c>
      <c r="E10" s="9">
        <f>C10-D10</f>
        <v>0</v>
      </c>
      <c r="F10" s="2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5">
        <f>SUM(G10:AK10)/4</f>
        <v>0</v>
      </c>
    </row>
    <row r="11" spans="1:38" ht="20.100000000000001" customHeight="1" x14ac:dyDescent="0.2">
      <c r="A11" s="109"/>
      <c r="B11" s="39">
        <f>DATE(Matrice!$B$14,MONTH(Matrice!C$21),Matrice!C$22)</f>
        <v>40968</v>
      </c>
      <c r="C11" s="9">
        <f>E10</f>
        <v>0</v>
      </c>
      <c r="D11" s="9">
        <f>AL11</f>
        <v>0</v>
      </c>
      <c r="E11" s="9">
        <f>C11-D11</f>
        <v>0</v>
      </c>
      <c r="F11" s="2"/>
      <c r="G11" s="66"/>
      <c r="H11" s="66"/>
      <c r="I11" s="66"/>
      <c r="J11" s="66"/>
      <c r="K11" s="66"/>
      <c r="L11" s="66"/>
      <c r="M11" s="66"/>
      <c r="N11" s="66"/>
      <c r="O11" s="66"/>
      <c r="P11" s="66"/>
      <c r="Q11" s="66"/>
      <c r="R11" s="66"/>
      <c r="S11" s="66"/>
      <c r="T11" s="66"/>
      <c r="U11" s="66"/>
      <c r="V11" s="66"/>
      <c r="W11" s="66"/>
      <c r="X11" s="66"/>
      <c r="Y11" s="66"/>
      <c r="Z11" s="66"/>
      <c r="AA11" s="66"/>
      <c r="AB11" s="66"/>
      <c r="AC11" s="66"/>
      <c r="AD11" s="66"/>
      <c r="AE11" s="66"/>
      <c r="AF11" s="66"/>
      <c r="AG11" s="66"/>
      <c r="AH11" s="66"/>
      <c r="AI11" s="66"/>
      <c r="AJ11" s="66"/>
      <c r="AK11" s="66"/>
      <c r="AL11" s="65">
        <f t="shared" ref="AL11:AL21" si="1">SUM(G11:AK11)/4</f>
        <v>0</v>
      </c>
    </row>
    <row r="12" spans="1:38" ht="20.100000000000001" customHeight="1" x14ac:dyDescent="0.2">
      <c r="A12" s="109"/>
      <c r="B12" s="39">
        <f>DATE(Matrice!$B$14,MONTH(Matrice!D$21),Matrice!D$22)</f>
        <v>40999</v>
      </c>
      <c r="C12" s="9">
        <f t="shared" ref="C12:C21" si="2">E11</f>
        <v>0</v>
      </c>
      <c r="D12" s="9">
        <f t="shared" ref="D12:D21" si="3">AL12</f>
        <v>0</v>
      </c>
      <c r="E12" s="9">
        <f t="shared" ref="E12:E21" si="4">C12-D12</f>
        <v>0</v>
      </c>
      <c r="F12" s="2"/>
      <c r="G12" s="66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6"/>
      <c r="W12" s="66"/>
      <c r="X12" s="66"/>
      <c r="Y12" s="66"/>
      <c r="Z12" s="66"/>
      <c r="AA12" s="66"/>
      <c r="AB12" s="66"/>
      <c r="AC12" s="66"/>
      <c r="AD12" s="66"/>
      <c r="AE12" s="66"/>
      <c r="AF12" s="66"/>
      <c r="AG12" s="66"/>
      <c r="AH12" s="66"/>
      <c r="AI12" s="66"/>
      <c r="AJ12" s="66"/>
      <c r="AK12" s="66"/>
      <c r="AL12" s="65">
        <f t="shared" si="1"/>
        <v>0</v>
      </c>
    </row>
    <row r="13" spans="1:38" ht="20.100000000000001" customHeight="1" x14ac:dyDescent="0.2">
      <c r="A13" s="109"/>
      <c r="B13" s="39">
        <f>DATE(Matrice!$B$14,MONTH(Matrice!E$21),Matrice!E$22)</f>
        <v>41029</v>
      </c>
      <c r="C13" s="9">
        <f t="shared" si="2"/>
        <v>0</v>
      </c>
      <c r="D13" s="9">
        <f t="shared" si="3"/>
        <v>0</v>
      </c>
      <c r="E13" s="9">
        <f t="shared" si="4"/>
        <v>0</v>
      </c>
      <c r="F13" s="2"/>
      <c r="G13" s="66"/>
      <c r="H13" s="66"/>
      <c r="I13" s="66"/>
      <c r="J13" s="66"/>
      <c r="K13" s="66"/>
      <c r="L13" s="66"/>
      <c r="M13" s="66"/>
      <c r="N13" s="66"/>
      <c r="O13" s="67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5">
        <f t="shared" si="1"/>
        <v>0</v>
      </c>
    </row>
    <row r="14" spans="1:38" ht="20.100000000000001" customHeight="1" x14ac:dyDescent="0.2">
      <c r="A14" s="109"/>
      <c r="B14" s="39">
        <f>DATE(Matrice!$B$14,MONTH(Matrice!F$21),Matrice!F$22)</f>
        <v>41060</v>
      </c>
      <c r="C14" s="9">
        <f t="shared" si="2"/>
        <v>0</v>
      </c>
      <c r="D14" s="9">
        <f t="shared" si="3"/>
        <v>0</v>
      </c>
      <c r="E14" s="9">
        <f t="shared" si="4"/>
        <v>0</v>
      </c>
      <c r="F14" s="2"/>
      <c r="G14" s="67"/>
      <c r="H14" s="66"/>
      <c r="I14" s="66"/>
      <c r="J14" s="66"/>
      <c r="K14" s="66"/>
      <c r="L14" s="66"/>
      <c r="M14" s="66"/>
      <c r="N14" s="67"/>
      <c r="O14" s="66"/>
      <c r="P14" s="66"/>
      <c r="Q14" s="66"/>
      <c r="R14" s="66"/>
      <c r="S14" s="66"/>
      <c r="T14" s="66"/>
      <c r="U14" s="66"/>
      <c r="V14" s="66"/>
      <c r="W14" s="67"/>
      <c r="X14" s="66"/>
      <c r="Y14" s="66"/>
      <c r="Z14" s="66"/>
      <c r="AA14" s="66"/>
      <c r="AB14" s="66"/>
      <c r="AC14" s="66"/>
      <c r="AD14" s="66"/>
      <c r="AE14" s="66"/>
      <c r="AF14" s="66"/>
      <c r="AG14" s="66"/>
      <c r="AH14" s="67"/>
      <c r="AI14" s="66"/>
      <c r="AJ14" s="66"/>
      <c r="AK14" s="66"/>
      <c r="AL14" s="65">
        <f t="shared" si="1"/>
        <v>0</v>
      </c>
    </row>
    <row r="15" spans="1:38" ht="20.100000000000001" customHeight="1" x14ac:dyDescent="0.2">
      <c r="A15" s="109"/>
      <c r="B15" s="39">
        <f>DATE(Matrice!$B$14,MONTH(Matrice!G$21),Matrice!G$22)</f>
        <v>41090</v>
      </c>
      <c r="C15" s="9">
        <f t="shared" si="2"/>
        <v>0</v>
      </c>
      <c r="D15" s="9">
        <f t="shared" si="3"/>
        <v>4.5</v>
      </c>
      <c r="E15" s="9">
        <f t="shared" si="4"/>
        <v>-4.5</v>
      </c>
      <c r="F15" s="2"/>
      <c r="G15" s="9">
        <v>0</v>
      </c>
      <c r="H15" s="9" t="s">
        <v>52</v>
      </c>
      <c r="I15" s="9" t="s">
        <v>52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 t="s">
        <v>52</v>
      </c>
      <c r="P15" s="9" t="s">
        <v>52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 t="s">
        <v>52</v>
      </c>
      <c r="W15" s="9" t="s">
        <v>52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 t="s">
        <v>52</v>
      </c>
      <c r="AD15" s="9" t="s">
        <v>52</v>
      </c>
      <c r="AE15" s="9">
        <v>2</v>
      </c>
      <c r="AF15" s="9">
        <v>4</v>
      </c>
      <c r="AG15" s="9">
        <v>4</v>
      </c>
      <c r="AH15" s="9">
        <v>4</v>
      </c>
      <c r="AI15" s="9">
        <v>4</v>
      </c>
      <c r="AJ15" s="9" t="s">
        <v>52</v>
      </c>
      <c r="AK15" s="9" t="s">
        <v>52</v>
      </c>
      <c r="AL15" s="40">
        <f t="shared" si="1"/>
        <v>4.5</v>
      </c>
    </row>
    <row r="16" spans="1:38" s="3" customFormat="1" ht="20.100000000000001" customHeight="1" x14ac:dyDescent="0.2">
      <c r="A16" s="109"/>
      <c r="B16" s="39">
        <f>DATE(Matrice!$B$14,MONTH(Matrice!H$21),Matrice!H$22)</f>
        <v>41121</v>
      </c>
      <c r="C16" s="9">
        <f t="shared" si="2"/>
        <v>-4.5</v>
      </c>
      <c r="D16" s="9">
        <f t="shared" si="3"/>
        <v>20.5</v>
      </c>
      <c r="E16" s="9">
        <f t="shared" si="4"/>
        <v>-25</v>
      </c>
      <c r="G16" s="9" t="s">
        <v>52</v>
      </c>
      <c r="H16" s="9">
        <v>4</v>
      </c>
      <c r="I16" s="9">
        <v>4</v>
      </c>
      <c r="J16" s="9">
        <v>4</v>
      </c>
      <c r="K16" s="9">
        <v>4</v>
      </c>
      <c r="L16" s="9">
        <v>4</v>
      </c>
      <c r="M16" s="9" t="s">
        <v>52</v>
      </c>
      <c r="N16" s="9" t="s">
        <v>52</v>
      </c>
      <c r="O16" s="9">
        <v>4</v>
      </c>
      <c r="P16" s="9">
        <v>4</v>
      </c>
      <c r="Q16" s="9">
        <v>4</v>
      </c>
      <c r="R16" s="9">
        <v>4</v>
      </c>
      <c r="S16" s="9">
        <v>4</v>
      </c>
      <c r="T16" s="9" t="s">
        <v>52</v>
      </c>
      <c r="U16" s="9" t="s">
        <v>52</v>
      </c>
      <c r="V16" s="9">
        <v>4</v>
      </c>
      <c r="W16" s="9">
        <v>4</v>
      </c>
      <c r="X16" s="9">
        <v>4</v>
      </c>
      <c r="Y16" s="9">
        <v>4</v>
      </c>
      <c r="Z16" s="9">
        <v>4</v>
      </c>
      <c r="AA16" s="9" t="s">
        <v>52</v>
      </c>
      <c r="AB16" s="9" t="s">
        <v>52</v>
      </c>
      <c r="AC16" s="9">
        <v>4</v>
      </c>
      <c r="AD16" s="9">
        <v>4</v>
      </c>
      <c r="AE16" s="9">
        <v>4</v>
      </c>
      <c r="AF16" s="9">
        <v>4</v>
      </c>
      <c r="AG16" s="9">
        <v>4</v>
      </c>
      <c r="AH16" s="9" t="s">
        <v>52</v>
      </c>
      <c r="AI16" s="9" t="s">
        <v>52</v>
      </c>
      <c r="AJ16" s="9">
        <v>2</v>
      </c>
      <c r="AK16" s="9">
        <v>0</v>
      </c>
      <c r="AL16" s="40">
        <f t="shared" si="1"/>
        <v>20.5</v>
      </c>
    </row>
    <row r="17" spans="1:38" ht="20.100000000000001" customHeight="1" x14ac:dyDescent="0.2">
      <c r="A17" s="109"/>
      <c r="B17" s="39">
        <f>DATE(Matrice!$B$14,MONTH(Matrice!I$21),Matrice!I$22)</f>
        <v>41152</v>
      </c>
      <c r="C17" s="9">
        <f t="shared" si="2"/>
        <v>-25</v>
      </c>
      <c r="D17" s="9">
        <f t="shared" si="3"/>
        <v>7</v>
      </c>
      <c r="E17" s="9">
        <f t="shared" si="4"/>
        <v>-32</v>
      </c>
      <c r="F17" s="2"/>
      <c r="G17" s="9">
        <v>0</v>
      </c>
      <c r="H17" s="9">
        <v>0</v>
      </c>
      <c r="I17" s="9">
        <v>0</v>
      </c>
      <c r="J17" s="9" t="s">
        <v>52</v>
      </c>
      <c r="K17" s="9" t="s">
        <v>52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 t="s">
        <v>52</v>
      </c>
      <c r="R17" s="9" t="s">
        <v>52</v>
      </c>
      <c r="S17" s="9">
        <v>0</v>
      </c>
      <c r="T17" s="9">
        <v>0</v>
      </c>
      <c r="U17" s="63" t="s">
        <v>52</v>
      </c>
      <c r="V17" s="9">
        <v>0</v>
      </c>
      <c r="W17" s="9">
        <v>0</v>
      </c>
      <c r="X17" s="9" t="s">
        <v>52</v>
      </c>
      <c r="Y17" s="9" t="s">
        <v>52</v>
      </c>
      <c r="Z17" s="9">
        <v>0</v>
      </c>
      <c r="AA17" s="9">
        <v>0</v>
      </c>
      <c r="AB17" s="9">
        <v>0</v>
      </c>
      <c r="AC17" s="9">
        <v>4</v>
      </c>
      <c r="AD17" s="9">
        <v>4</v>
      </c>
      <c r="AE17" s="9" t="s">
        <v>52</v>
      </c>
      <c r="AF17" s="9" t="s">
        <v>52</v>
      </c>
      <c r="AG17" s="9">
        <v>4</v>
      </c>
      <c r="AH17" s="9">
        <v>4</v>
      </c>
      <c r="AI17" s="9">
        <v>4</v>
      </c>
      <c r="AJ17" s="9">
        <v>4</v>
      </c>
      <c r="AK17" s="9">
        <v>4</v>
      </c>
      <c r="AL17" s="40">
        <f t="shared" si="1"/>
        <v>7</v>
      </c>
    </row>
    <row r="18" spans="1:38" ht="20.100000000000001" customHeight="1" x14ac:dyDescent="0.2">
      <c r="A18" s="109"/>
      <c r="B18" s="39">
        <f>DATE(Matrice!$B$14,MONTH(Matrice!J$21),Matrice!J$22)</f>
        <v>41182</v>
      </c>
      <c r="C18" s="9">
        <f t="shared" si="2"/>
        <v>-32</v>
      </c>
      <c r="D18" s="9">
        <f t="shared" si="3"/>
        <v>20.5</v>
      </c>
      <c r="E18" s="9">
        <f t="shared" si="4"/>
        <v>-52.5</v>
      </c>
      <c r="F18" s="2"/>
      <c r="G18" s="9" t="s">
        <v>52</v>
      </c>
      <c r="H18" s="9" t="s">
        <v>52</v>
      </c>
      <c r="I18" s="9">
        <v>4</v>
      </c>
      <c r="J18" s="9">
        <v>4</v>
      </c>
      <c r="K18" s="9">
        <v>4</v>
      </c>
      <c r="L18" s="9">
        <v>4</v>
      </c>
      <c r="M18" s="9">
        <v>4</v>
      </c>
      <c r="N18" s="9" t="s">
        <v>52</v>
      </c>
      <c r="O18" s="9" t="s">
        <v>52</v>
      </c>
      <c r="P18" s="9">
        <v>4</v>
      </c>
      <c r="Q18" s="9">
        <v>4</v>
      </c>
      <c r="R18" s="9">
        <v>4</v>
      </c>
      <c r="S18" s="9">
        <v>4</v>
      </c>
      <c r="T18" s="9">
        <v>4</v>
      </c>
      <c r="U18" s="9" t="s">
        <v>52</v>
      </c>
      <c r="V18" s="9" t="s">
        <v>52</v>
      </c>
      <c r="W18" s="9">
        <v>4</v>
      </c>
      <c r="X18" s="9">
        <v>4</v>
      </c>
      <c r="Y18" s="9">
        <v>4</v>
      </c>
      <c r="Z18" s="9">
        <v>4</v>
      </c>
      <c r="AA18" s="9">
        <v>2</v>
      </c>
      <c r="AB18" s="9" t="s">
        <v>52</v>
      </c>
      <c r="AC18" s="9" t="s">
        <v>52</v>
      </c>
      <c r="AD18" s="9">
        <v>4</v>
      </c>
      <c r="AE18" s="9">
        <v>4</v>
      </c>
      <c r="AF18" s="9">
        <v>4</v>
      </c>
      <c r="AG18" s="9">
        <v>4</v>
      </c>
      <c r="AH18" s="9">
        <v>4</v>
      </c>
      <c r="AI18" s="9" t="s">
        <v>52</v>
      </c>
      <c r="AJ18" s="9" t="s">
        <v>52</v>
      </c>
      <c r="AK18" s="9">
        <v>4</v>
      </c>
      <c r="AL18" s="40">
        <f t="shared" si="1"/>
        <v>20.5</v>
      </c>
    </row>
    <row r="19" spans="1:38" s="3" customFormat="1" ht="20.100000000000001" customHeight="1" x14ac:dyDescent="0.2">
      <c r="A19" s="109"/>
      <c r="B19" s="39">
        <f>DATE(Matrice!$B$14,MONTH(Matrice!K$21),Matrice!K$22)</f>
        <v>41213</v>
      </c>
      <c r="C19" s="9">
        <f t="shared" si="2"/>
        <v>-52.5</v>
      </c>
      <c r="D19" s="9">
        <f t="shared" si="3"/>
        <v>23</v>
      </c>
      <c r="E19" s="9">
        <f t="shared" si="4"/>
        <v>-75.5</v>
      </c>
      <c r="G19" s="9">
        <v>4</v>
      </c>
      <c r="H19" s="9">
        <v>4</v>
      </c>
      <c r="I19" s="9">
        <v>4</v>
      </c>
      <c r="J19" s="9">
        <v>4</v>
      </c>
      <c r="K19" s="9">
        <v>4</v>
      </c>
      <c r="L19" s="9" t="s">
        <v>52</v>
      </c>
      <c r="M19" s="9" t="s">
        <v>52</v>
      </c>
      <c r="N19" s="9">
        <v>4</v>
      </c>
      <c r="O19" s="9">
        <v>4</v>
      </c>
      <c r="P19" s="9">
        <v>4</v>
      </c>
      <c r="Q19" s="9">
        <v>4</v>
      </c>
      <c r="R19" s="9">
        <v>4</v>
      </c>
      <c r="S19" s="9" t="s">
        <v>52</v>
      </c>
      <c r="T19" s="9" t="s">
        <v>52</v>
      </c>
      <c r="U19" s="9">
        <v>4</v>
      </c>
      <c r="V19" s="9">
        <v>4</v>
      </c>
      <c r="W19" s="9">
        <v>4</v>
      </c>
      <c r="X19" s="9">
        <v>4</v>
      </c>
      <c r="Y19" s="9">
        <v>4</v>
      </c>
      <c r="Z19" s="9" t="s">
        <v>52</v>
      </c>
      <c r="AA19" s="9" t="s">
        <v>52</v>
      </c>
      <c r="AB19" s="9">
        <v>4</v>
      </c>
      <c r="AC19" s="9">
        <v>4</v>
      </c>
      <c r="AD19" s="9">
        <v>4</v>
      </c>
      <c r="AE19" s="9">
        <v>4</v>
      </c>
      <c r="AF19" s="9">
        <v>4</v>
      </c>
      <c r="AG19" s="9" t="s">
        <v>52</v>
      </c>
      <c r="AH19" s="9" t="s">
        <v>52</v>
      </c>
      <c r="AI19" s="9">
        <v>4</v>
      </c>
      <c r="AJ19" s="9">
        <v>4</v>
      </c>
      <c r="AK19" s="9">
        <v>4</v>
      </c>
      <c r="AL19" s="40">
        <f t="shared" si="1"/>
        <v>23</v>
      </c>
    </row>
    <row r="20" spans="1:38" s="3" customFormat="1" ht="20.100000000000001" customHeight="1" x14ac:dyDescent="0.2">
      <c r="A20" s="109"/>
      <c r="B20" s="39">
        <f>DATE(Matrice!$B$14,MONTH(Matrice!L$21),Matrice!L$22)</f>
        <v>41243</v>
      </c>
      <c r="C20" s="9">
        <f t="shared" si="2"/>
        <v>-75.5</v>
      </c>
      <c r="D20" s="9">
        <f t="shared" si="3"/>
        <v>21</v>
      </c>
      <c r="E20" s="9">
        <f t="shared" si="4"/>
        <v>-96.5</v>
      </c>
      <c r="G20" s="63" t="s">
        <v>52</v>
      </c>
      <c r="H20" s="9">
        <v>4</v>
      </c>
      <c r="I20" s="9" t="s">
        <v>52</v>
      </c>
      <c r="J20" s="9" t="s">
        <v>52</v>
      </c>
      <c r="K20" s="9">
        <v>4</v>
      </c>
      <c r="L20" s="9">
        <v>4</v>
      </c>
      <c r="M20" s="9">
        <v>4</v>
      </c>
      <c r="N20" s="9">
        <v>4</v>
      </c>
      <c r="O20" s="9">
        <v>4</v>
      </c>
      <c r="P20" s="9" t="s">
        <v>52</v>
      </c>
      <c r="Q20" s="9" t="s">
        <v>52</v>
      </c>
      <c r="R20" s="9">
        <v>4</v>
      </c>
      <c r="S20" s="9">
        <v>4</v>
      </c>
      <c r="T20" s="9">
        <v>4</v>
      </c>
      <c r="U20" s="9">
        <v>4</v>
      </c>
      <c r="V20" s="9">
        <v>4</v>
      </c>
      <c r="W20" s="9" t="s">
        <v>52</v>
      </c>
      <c r="X20" s="9" t="s">
        <v>52</v>
      </c>
      <c r="Y20" s="9">
        <v>4</v>
      </c>
      <c r="Z20" s="9">
        <v>4</v>
      </c>
      <c r="AA20" s="9">
        <v>4</v>
      </c>
      <c r="AB20" s="9">
        <v>4</v>
      </c>
      <c r="AC20" s="9">
        <v>4</v>
      </c>
      <c r="AD20" s="9" t="s">
        <v>52</v>
      </c>
      <c r="AE20" s="9" t="s">
        <v>52</v>
      </c>
      <c r="AF20" s="9">
        <v>4</v>
      </c>
      <c r="AG20" s="9">
        <v>4</v>
      </c>
      <c r="AH20" s="9">
        <v>4</v>
      </c>
      <c r="AI20" s="9">
        <v>4</v>
      </c>
      <c r="AJ20" s="9">
        <v>4</v>
      </c>
      <c r="AK20" s="9" t="s">
        <v>52</v>
      </c>
      <c r="AL20" s="40">
        <f t="shared" si="1"/>
        <v>21</v>
      </c>
    </row>
    <row r="21" spans="1:38" ht="20.100000000000001" customHeight="1" x14ac:dyDescent="0.2">
      <c r="A21" s="110"/>
      <c r="B21" s="39">
        <f>DATE(Matrice!$B$14,MONTH(Matrice!M$21),Matrice!M$22)</f>
        <v>41274</v>
      </c>
      <c r="C21" s="9">
        <f t="shared" si="2"/>
        <v>-96.5</v>
      </c>
      <c r="D21" s="9">
        <f t="shared" si="3"/>
        <v>20</v>
      </c>
      <c r="E21" s="9">
        <f t="shared" si="4"/>
        <v>-116.5</v>
      </c>
      <c r="F21" s="3"/>
      <c r="G21" s="9" t="s">
        <v>52</v>
      </c>
      <c r="H21" s="9" t="s">
        <v>52</v>
      </c>
      <c r="I21" s="9">
        <v>4</v>
      </c>
      <c r="J21" s="9">
        <v>4</v>
      </c>
      <c r="K21" s="9">
        <v>4</v>
      </c>
      <c r="L21" s="9">
        <v>4</v>
      </c>
      <c r="M21" s="9">
        <v>4</v>
      </c>
      <c r="N21" s="9" t="s">
        <v>52</v>
      </c>
      <c r="O21" s="9" t="s">
        <v>52</v>
      </c>
      <c r="P21" s="9">
        <v>4</v>
      </c>
      <c r="Q21" s="9">
        <v>4</v>
      </c>
      <c r="R21" s="9">
        <v>4</v>
      </c>
      <c r="S21" s="9">
        <v>4</v>
      </c>
      <c r="T21" s="9">
        <v>4</v>
      </c>
      <c r="U21" s="9" t="s">
        <v>52</v>
      </c>
      <c r="V21" s="9" t="s">
        <v>52</v>
      </c>
      <c r="W21" s="9">
        <v>4</v>
      </c>
      <c r="X21" s="9">
        <v>4</v>
      </c>
      <c r="Y21" s="9">
        <v>4</v>
      </c>
      <c r="Z21" s="9">
        <v>4</v>
      </c>
      <c r="AA21" s="9">
        <v>4</v>
      </c>
      <c r="AB21" s="9" t="s">
        <v>52</v>
      </c>
      <c r="AC21" s="9" t="s">
        <v>52</v>
      </c>
      <c r="AD21" s="63" t="s">
        <v>52</v>
      </c>
      <c r="AE21" s="9">
        <v>4</v>
      </c>
      <c r="AF21" s="9">
        <v>4</v>
      </c>
      <c r="AG21" s="9">
        <v>4</v>
      </c>
      <c r="AH21" s="9">
        <v>4</v>
      </c>
      <c r="AI21" s="9" t="s">
        <v>52</v>
      </c>
      <c r="AJ21" s="9" t="s">
        <v>52</v>
      </c>
      <c r="AK21" s="9">
        <v>4</v>
      </c>
      <c r="AL21" s="40">
        <f t="shared" si="1"/>
        <v>20</v>
      </c>
    </row>
    <row r="22" spans="1:38" ht="15.75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6">
        <f>SUM(AL10:AL21)</f>
        <v>116.5</v>
      </c>
    </row>
    <row r="23" spans="1:38" ht="15" x14ac:dyDescent="0.2">
      <c r="A23" s="117" t="s">
        <v>9</v>
      </c>
      <c r="B23" s="118"/>
      <c r="C23" s="118"/>
      <c r="D23" s="118"/>
      <c r="E23" s="118"/>
      <c r="F23" s="118"/>
      <c r="G23" s="118"/>
      <c r="H23" s="118"/>
      <c r="I23" s="119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</row>
    <row r="24" spans="1:38" ht="15" x14ac:dyDescent="0.2">
      <c r="A24" s="120" t="s">
        <v>42</v>
      </c>
      <c r="B24" s="121"/>
      <c r="C24" s="122"/>
      <c r="D24" s="123"/>
      <c r="E24" s="123"/>
      <c r="F24" s="123"/>
      <c r="G24" s="123"/>
      <c r="H24" s="123"/>
      <c r="I24" s="124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</row>
    <row r="25" spans="1:38" ht="15" x14ac:dyDescent="0.2">
      <c r="A25" s="111" t="s">
        <v>10</v>
      </c>
      <c r="B25" s="112"/>
      <c r="C25" s="10"/>
      <c r="D25" s="10"/>
      <c r="E25" s="10"/>
      <c r="F25" s="10"/>
      <c r="G25" s="10"/>
      <c r="H25" s="10"/>
      <c r="I25" s="11"/>
      <c r="J25" s="12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</row>
    <row r="26" spans="1:38" ht="15" x14ac:dyDescent="0.2">
      <c r="A26" s="113"/>
      <c r="B26" s="114"/>
      <c r="C26" s="13"/>
      <c r="D26" s="13"/>
      <c r="E26" s="13"/>
      <c r="F26" s="13"/>
      <c r="G26" s="13"/>
      <c r="H26" s="13"/>
      <c r="I26" s="14"/>
      <c r="J26" s="15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</row>
    <row r="27" spans="1:38" ht="15" x14ac:dyDescent="0.2">
      <c r="A27" s="113"/>
      <c r="B27" s="114"/>
      <c r="C27" s="13"/>
      <c r="D27" s="13"/>
      <c r="E27" s="13"/>
      <c r="F27" s="13"/>
      <c r="G27" s="13"/>
      <c r="H27" s="13"/>
      <c r="I27" s="14"/>
      <c r="J27" s="15"/>
      <c r="K27" s="3"/>
      <c r="L27" s="3"/>
      <c r="M27" s="3"/>
      <c r="N27" s="3"/>
      <c r="O27" s="3"/>
      <c r="P27" s="32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</row>
    <row r="28" spans="1:38" ht="15" x14ac:dyDescent="0.2">
      <c r="A28" s="113"/>
      <c r="B28" s="114"/>
      <c r="C28" s="13"/>
      <c r="D28" s="13"/>
      <c r="E28" s="13"/>
      <c r="F28" s="13"/>
      <c r="G28" s="33"/>
      <c r="H28" s="13"/>
      <c r="I28" s="14"/>
      <c r="J28" s="15"/>
      <c r="K28" s="3"/>
      <c r="L28" s="3"/>
      <c r="M28" s="3"/>
      <c r="N28" s="3"/>
      <c r="O28" s="3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"/>
      <c r="AJ28" s="3"/>
      <c r="AK28" s="3"/>
      <c r="AL28" s="3"/>
    </row>
    <row r="29" spans="1:38" ht="15" x14ac:dyDescent="0.2">
      <c r="A29" s="113"/>
      <c r="B29" s="114"/>
      <c r="C29" s="16"/>
      <c r="D29" s="16"/>
      <c r="E29" s="16"/>
      <c r="F29" s="16"/>
      <c r="G29" s="16"/>
      <c r="H29" s="16"/>
      <c r="I29" s="17"/>
      <c r="J29" s="15"/>
      <c r="K29" s="3"/>
      <c r="L29" s="3"/>
      <c r="M29" s="3"/>
      <c r="N29" s="3"/>
      <c r="O29" s="3"/>
      <c r="AI29" s="3"/>
      <c r="AJ29" s="3"/>
      <c r="AK29" s="3"/>
      <c r="AL29" s="3"/>
    </row>
    <row r="30" spans="1:38" ht="15" x14ac:dyDescent="0.2">
      <c r="A30" s="113"/>
      <c r="B30" s="114"/>
      <c r="C30" s="16"/>
      <c r="D30" s="16"/>
      <c r="E30" s="16"/>
      <c r="F30" s="16"/>
      <c r="G30" s="32"/>
      <c r="H30" s="16"/>
      <c r="I30" s="17"/>
      <c r="J30" s="15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</row>
    <row r="31" spans="1:38" ht="15" x14ac:dyDescent="0.2">
      <c r="A31" s="113"/>
      <c r="B31" s="114"/>
      <c r="C31" s="16"/>
      <c r="D31" s="16"/>
      <c r="E31" s="16"/>
      <c r="F31" s="16"/>
      <c r="G31" s="16"/>
      <c r="H31" s="16"/>
      <c r="I31" s="17"/>
      <c r="J31" s="15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</row>
    <row r="32" spans="1:38" ht="15" x14ac:dyDescent="0.2">
      <c r="A32" s="115"/>
      <c r="B32" s="116"/>
      <c r="C32" s="18"/>
      <c r="D32" s="18"/>
      <c r="E32" s="18"/>
      <c r="F32" s="18"/>
      <c r="G32" s="18"/>
      <c r="H32" s="18"/>
      <c r="I32" s="19"/>
      <c r="J32" s="20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</row>
    <row r="33" spans="1:38" ht="15" x14ac:dyDescent="0.2">
      <c r="A33" s="21"/>
      <c r="B33" s="21"/>
      <c r="C33" s="16"/>
      <c r="D33" s="16"/>
      <c r="E33" s="16"/>
      <c r="F33" s="16"/>
      <c r="G33" s="16"/>
      <c r="H33" s="16"/>
      <c r="I33" s="16"/>
      <c r="J33" s="7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</row>
  </sheetData>
  <dataConsolidate/>
  <mergeCells count="6">
    <mergeCell ref="P3:V3"/>
    <mergeCell ref="A10:A21"/>
    <mergeCell ref="A25:B32"/>
    <mergeCell ref="A23:I23"/>
    <mergeCell ref="A24:B24"/>
    <mergeCell ref="C24:I24"/>
  </mergeCells>
  <conditionalFormatting sqref="G9:AK9">
    <cfRule type="expression" dxfId="23" priority="49" stopIfTrue="1">
      <formula>estouvrable(G9)</formula>
    </cfRule>
  </conditionalFormatting>
  <conditionalFormatting sqref="G11:AK11">
    <cfRule type="expression" dxfId="22" priority="15">
      <formula>WEEKDAY(DATE($B$2,2,G$9),2)&gt;5</formula>
    </cfRule>
  </conditionalFormatting>
  <conditionalFormatting sqref="G12:AK12">
    <cfRule type="expression" dxfId="21" priority="14">
      <formula>WEEKDAY(DATE($B$2,3,G$9),2)&gt;5</formula>
    </cfRule>
  </conditionalFormatting>
  <conditionalFormatting sqref="G13:AK13">
    <cfRule type="expression" dxfId="20" priority="13">
      <formula>WEEKDAY(DATE($B$2,4,G$9),2)&gt;5</formula>
    </cfRule>
  </conditionalFormatting>
  <conditionalFormatting sqref="G14:AK14">
    <cfRule type="expression" dxfId="19" priority="12">
      <formula>WEEKDAY(DATE($B$2,5,G$9),2)&gt;5</formula>
    </cfRule>
  </conditionalFormatting>
  <conditionalFormatting sqref="G15:AK15">
    <cfRule type="expression" dxfId="18" priority="11">
      <formula>WEEKDAY(DATE($B$2,6,G$9),2)&gt;5</formula>
    </cfRule>
  </conditionalFormatting>
  <conditionalFormatting sqref="G17:AK17">
    <cfRule type="expression" dxfId="17" priority="9">
      <formula>WEEKDAY(DATE($B$2,8,G$9),2)&gt;5</formula>
    </cfRule>
  </conditionalFormatting>
  <conditionalFormatting sqref="G18:AK18">
    <cfRule type="expression" dxfId="16" priority="8">
      <formula>WEEKDAY(DATE($B$2,9,G$9),2)&gt;5</formula>
    </cfRule>
  </conditionalFormatting>
  <conditionalFormatting sqref="G19:AK19">
    <cfRule type="expression" dxfId="15" priority="7">
      <formula>WEEKDAY(DATE($B$2,10,G$9),2)&gt;5</formula>
    </cfRule>
  </conditionalFormatting>
  <conditionalFormatting sqref="G20:AK20">
    <cfRule type="expression" dxfId="14" priority="6">
      <formula>WEEKDAY(DATE($B$2,11,G$9),2)&gt;5</formula>
    </cfRule>
  </conditionalFormatting>
  <conditionalFormatting sqref="G21:AK21">
    <cfRule type="expression" dxfId="13" priority="5">
      <formula>WEEKDAY(DATE($B$2,12,G$9),2)&gt;5</formula>
    </cfRule>
  </conditionalFormatting>
  <conditionalFormatting sqref="G16:AK16">
    <cfRule type="expression" dxfId="12" priority="2">
      <formula>WEEKDAY(DATE($B$2,7,G$9),2)&gt;5</formula>
    </cfRule>
  </conditionalFormatting>
  <conditionalFormatting sqref="G10:AK10">
    <cfRule type="expression" dxfId="11" priority="1">
      <formula>WEEKDAY(DATE($B$2,1,G$9),2)&gt;5</formula>
    </cfRule>
  </conditionalFormatting>
  <printOptions horizontalCentered="1"/>
  <pageMargins left="0.19685039370078741" right="0.19685039370078741" top="0.74803149606299213" bottom="0.74803149606299213" header="0.31496062992125984" footer="0.31496062992125984"/>
  <pageSetup paperSize="9" scale="6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92D050"/>
    <pageSetUpPr fitToPage="1"/>
  </sheetPr>
  <dimension ref="A2:AM23"/>
  <sheetViews>
    <sheetView showGridLines="0" tabSelected="1" zoomScale="80" zoomScaleNormal="80" zoomScaleSheetLayoutView="85" workbookViewId="0">
      <selection activeCell="N19" sqref="N19"/>
    </sheetView>
  </sheetViews>
  <sheetFormatPr baseColWidth="10" defaultColWidth="8.28515625" defaultRowHeight="15" x14ac:dyDescent="0.2"/>
  <cols>
    <col min="1" max="1" width="19.85546875" style="3" bestFit="1" customWidth="1"/>
    <col min="2" max="2" width="20" style="3" customWidth="1"/>
    <col min="3" max="5" width="12.7109375" style="3" customWidth="1"/>
    <col min="6" max="6" width="2.85546875" style="3" customWidth="1"/>
    <col min="7" max="7" width="10.42578125" style="3" customWidth="1"/>
    <col min="8" max="36" width="4.7109375" style="3" customWidth="1"/>
    <col min="37" max="37" width="5.28515625" style="3" customWidth="1"/>
    <col min="38" max="39" width="8.85546875" style="3" bestFit="1" customWidth="1"/>
    <col min="40" max="16384" width="8.28515625" style="3"/>
  </cols>
  <sheetData>
    <row r="2" spans="1:39" ht="15.75" x14ac:dyDescent="0.2">
      <c r="A2" s="26" t="s">
        <v>43</v>
      </c>
      <c r="B2" s="2">
        <f>Matrice!B6</f>
        <v>0</v>
      </c>
      <c r="P2" s="107"/>
      <c r="Q2" s="107"/>
      <c r="R2" s="107"/>
      <c r="S2" s="107"/>
      <c r="T2" s="107"/>
      <c r="U2" s="107"/>
      <c r="V2" s="107"/>
    </row>
    <row r="3" spans="1:39" ht="15.75" x14ac:dyDescent="0.2">
      <c r="A3" s="26" t="s">
        <v>34</v>
      </c>
      <c r="B3" s="2">
        <f>Matrice!B5</f>
        <v>0</v>
      </c>
      <c r="P3" s="62"/>
      <c r="Q3" s="62"/>
      <c r="R3" s="62"/>
      <c r="S3" s="62"/>
      <c r="T3" s="62"/>
      <c r="U3" s="62"/>
      <c r="V3" s="62"/>
    </row>
    <row r="4" spans="1:39" ht="15.75" x14ac:dyDescent="0.25">
      <c r="A4" s="27" t="s">
        <v>35</v>
      </c>
      <c r="B4" s="2"/>
      <c r="C4" s="2"/>
      <c r="D4" s="2"/>
      <c r="E4" s="2"/>
      <c r="F4" s="2"/>
      <c r="G4" s="2"/>
    </row>
    <row r="5" spans="1:39" ht="15.75" x14ac:dyDescent="0.25">
      <c r="A5" s="27" t="s">
        <v>36</v>
      </c>
      <c r="B5" s="28">
        <f>Matrice!B7</f>
        <v>0</v>
      </c>
      <c r="C5" s="4"/>
      <c r="D5" s="4"/>
      <c r="E5" s="4"/>
      <c r="F5" s="4"/>
      <c r="G5" s="4"/>
    </row>
    <row r="6" spans="1:39" x14ac:dyDescent="0.2">
      <c r="B6" s="75"/>
    </row>
    <row r="7" spans="1:39" ht="15.75" x14ac:dyDescent="0.2">
      <c r="H7" s="5"/>
      <c r="I7" s="6"/>
      <c r="J7" s="6"/>
      <c r="K7" s="5"/>
      <c r="L7" s="5"/>
      <c r="M7" s="5"/>
      <c r="N7" s="5"/>
      <c r="P7" s="7"/>
      <c r="Q7" s="7"/>
      <c r="W7" s="7"/>
      <c r="X7" s="7"/>
      <c r="Y7" s="7"/>
      <c r="AD7" s="7"/>
      <c r="AE7" s="7"/>
      <c r="AL7" s="7"/>
      <c r="AM7" s="7"/>
    </row>
    <row r="8" spans="1:39" ht="30" x14ac:dyDescent="0.2">
      <c r="C8" s="22" t="s">
        <v>49</v>
      </c>
      <c r="D8" s="22" t="s">
        <v>16</v>
      </c>
      <c r="E8" s="22" t="s">
        <v>48</v>
      </c>
      <c r="G8" s="74">
        <f>DATE(YEAR($B$9),MONTH($B$9),DAY($B$9))</f>
        <v>41061</v>
      </c>
      <c r="H8" s="74">
        <f>DATE(YEAR($B$9),MONTH($B$9),DAY($B$9)+1)</f>
        <v>41062</v>
      </c>
      <c r="I8" s="74">
        <f>DATE(YEAR($B$9),MONTH($B$9),DAY($B$9)+2)</f>
        <v>41063</v>
      </c>
      <c r="J8" s="74">
        <f>DATE(YEAR($B$9),MONTH($B$9),DAY($B$9)+3)</f>
        <v>41064</v>
      </c>
      <c r="K8" s="74">
        <f>DATE(YEAR($B$9),MONTH($B$9),DAY($B$9)+4)</f>
        <v>41065</v>
      </c>
      <c r="L8" s="74">
        <f>DATE(YEAR($B$9),MONTH($B$9),DAY($B$9)+5)</f>
        <v>41066</v>
      </c>
      <c r="M8" s="74">
        <f>DATE(YEAR($B$9),MONTH($B$9),DAY($B$9)+6)</f>
        <v>41067</v>
      </c>
      <c r="N8" s="74">
        <f>DATE(YEAR($B$9),MONTH($B$9),DAY($B$9)+7)</f>
        <v>41068</v>
      </c>
      <c r="O8" s="74">
        <f>DATE(YEAR($B$9),MONTH($B$9),DAY($B$9)+8)</f>
        <v>41069</v>
      </c>
      <c r="P8" s="74">
        <f>DATE(YEAR($B$9),MONTH($B$9),DAY($B$9)+9)</f>
        <v>41070</v>
      </c>
      <c r="Q8" s="74">
        <f>DATE(YEAR($B$9),MONTH($B$9),DAY($B$9)+10)</f>
        <v>41071</v>
      </c>
      <c r="R8" s="74">
        <f>DATE(YEAR($B$9),MONTH($B$9),DAY($B$9)+11)</f>
        <v>41072</v>
      </c>
      <c r="S8" s="74">
        <f>DATE(YEAR($B$9),MONTH($B$9),DAY($B$9)+12)</f>
        <v>41073</v>
      </c>
      <c r="T8" s="74">
        <f>DATE(YEAR($B$9),MONTH($B$9),DAY($B$9)+13)</f>
        <v>41074</v>
      </c>
      <c r="U8" s="74">
        <f>DATE(YEAR($B$9),MONTH($B$9),DAY($B$9)+14)</f>
        <v>41075</v>
      </c>
      <c r="V8" s="74">
        <f>DATE(YEAR($B$9),MONTH($B$9),DAY($B$9)+15)</f>
        <v>41076</v>
      </c>
      <c r="W8" s="74">
        <f>DATE(YEAR($B$9),MONTH($B$9),DAY($B$9)+16)</f>
        <v>41077</v>
      </c>
      <c r="X8" s="74">
        <f>DATE(YEAR($B$9),MONTH($B$9),DAY($B$9)+17)</f>
        <v>41078</v>
      </c>
      <c r="Y8" s="74">
        <f>DATE(YEAR($B$9),MONTH($B$9),DAY($B$9)+18)</f>
        <v>41079</v>
      </c>
      <c r="Z8" s="74">
        <f>DATE(YEAR($B$9),MONTH($B$9),DAY($B$9)+19)</f>
        <v>41080</v>
      </c>
      <c r="AA8" s="74">
        <f>DATE(YEAR($B$9),MONTH($B$9),DAY($B$9)+20)</f>
        <v>41081</v>
      </c>
      <c r="AB8" s="74">
        <f>DATE(YEAR($B$9),MONTH($B$9),DAY($B$9)+21)</f>
        <v>41082</v>
      </c>
      <c r="AC8" s="74">
        <f>DATE(YEAR($B$9),MONTH($B$9),DAY($B$9)+22)</f>
        <v>41083</v>
      </c>
      <c r="AD8" s="74">
        <f>DATE(YEAR($B$9),MONTH($B$9),DAY($B$9)+23)</f>
        <v>41084</v>
      </c>
      <c r="AE8" s="74">
        <f>DATE(YEAR($B$9),MONTH($B$9),DAY($B$9)+24)</f>
        <v>41085</v>
      </c>
      <c r="AF8" s="74">
        <f>DATE(YEAR($B$9),MONTH($B$9),DAY($B$9)+25)</f>
        <v>41086</v>
      </c>
      <c r="AG8" s="74">
        <f>DATE(YEAR($B$9),MONTH($B$9),DAY($B$9)+26)</f>
        <v>41087</v>
      </c>
      <c r="AH8" s="74">
        <f>DATE(YEAR($B$9),MONTH($B$9),DAY($B$9)+27)</f>
        <v>41088</v>
      </c>
      <c r="AI8" s="74">
        <f>DATE(YEAR($B$9),MONTH($B$9),DAY($B$9)+28)</f>
        <v>41089</v>
      </c>
      <c r="AJ8" s="74">
        <f>DATE(YEAR($B$9),MONTH($B$9),DAY($B$9)+29)</f>
        <v>41090</v>
      </c>
      <c r="AK8" s="74">
        <f>DATE(YEAR($B$9),MONTH($B$9),DAY($B$9)+30)</f>
        <v>41091</v>
      </c>
      <c r="AL8" s="8" t="s">
        <v>8</v>
      </c>
    </row>
    <row r="9" spans="1:39" ht="15.75" x14ac:dyDescent="0.2">
      <c r="A9" s="29" t="s">
        <v>5</v>
      </c>
      <c r="B9" s="23">
        <v>41061</v>
      </c>
      <c r="C9" s="41">
        <f>Matrice!B8</f>
        <v>0</v>
      </c>
      <c r="D9" s="9" t="e">
        <f>SUM(G9:AJ9)/4</f>
        <v>#N/A</v>
      </c>
      <c r="E9" s="9" t="e">
        <f>C9-D9</f>
        <v>#N/A</v>
      </c>
      <c r="F9" s="2"/>
      <c r="G9" s="77" t="e">
        <f t="array" ref="G9">INDEX(bdd,MATCH(TEXT($B$9,"mmmm"),Mois,0),MATCH(TEXT(G$8,"jj"),Jour,0))</f>
        <v>#N/A</v>
      </c>
      <c r="H9" s="77"/>
      <c r="I9" s="77"/>
      <c r="J9" s="77"/>
      <c r="K9" s="77"/>
      <c r="L9" s="77"/>
      <c r="M9" s="77"/>
      <c r="N9" s="77"/>
      <c r="O9" s="77"/>
      <c r="P9" s="77"/>
      <c r="Q9" s="77"/>
      <c r="R9" s="77"/>
      <c r="S9" s="77"/>
      <c r="T9" s="77"/>
      <c r="U9" s="77"/>
      <c r="V9" s="77"/>
      <c r="W9" s="77"/>
      <c r="X9" s="77"/>
      <c r="Y9" s="77"/>
      <c r="Z9" s="77"/>
      <c r="AA9" s="77"/>
      <c r="AB9" s="77"/>
      <c r="AC9" s="77"/>
      <c r="AD9" s="77"/>
      <c r="AE9" s="77"/>
      <c r="AF9" s="77"/>
      <c r="AG9" s="77"/>
      <c r="AH9" s="77"/>
      <c r="AI9" s="77"/>
      <c r="AJ9" s="77"/>
      <c r="AK9" s="77"/>
      <c r="AL9" s="76" t="e">
        <f>SUM(G9:AK9)/4</f>
        <v>#N/A</v>
      </c>
    </row>
    <row r="11" spans="1:39" x14ac:dyDescent="0.2">
      <c r="A11" s="117" t="s">
        <v>9</v>
      </c>
      <c r="B11" s="118"/>
      <c r="C11" s="118"/>
      <c r="D11" s="118"/>
      <c r="E11" s="118"/>
      <c r="F11" s="118"/>
      <c r="G11" s="118"/>
      <c r="H11" s="118"/>
      <c r="I11" s="119"/>
    </row>
    <row r="12" spans="1:39" x14ac:dyDescent="0.2">
      <c r="A12" s="122" t="s">
        <v>11</v>
      </c>
      <c r="B12" s="124"/>
      <c r="C12" s="131"/>
      <c r="D12" s="132"/>
      <c r="E12" s="132"/>
      <c r="F12" s="132"/>
      <c r="G12" s="132"/>
      <c r="H12" s="132"/>
      <c r="I12" s="133"/>
    </row>
    <row r="13" spans="1:39" x14ac:dyDescent="0.2">
      <c r="A13" s="125" t="s">
        <v>10</v>
      </c>
      <c r="B13" s="126"/>
      <c r="C13" s="10"/>
      <c r="D13" s="10"/>
      <c r="E13" s="10"/>
      <c r="F13" s="10"/>
      <c r="G13" s="10"/>
      <c r="H13" s="10"/>
      <c r="I13" s="11"/>
      <c r="J13" s="12"/>
    </row>
    <row r="14" spans="1:39" x14ac:dyDescent="0.2">
      <c r="A14" s="127"/>
      <c r="B14" s="128"/>
      <c r="C14" s="13"/>
      <c r="D14" s="13"/>
      <c r="E14" s="13"/>
      <c r="F14" s="13"/>
      <c r="G14" s="13"/>
      <c r="H14" s="13"/>
      <c r="I14" s="14"/>
      <c r="J14" s="15"/>
    </row>
    <row r="15" spans="1:39" x14ac:dyDescent="0.2">
      <c r="A15" s="127"/>
      <c r="B15" s="128"/>
      <c r="C15" s="13"/>
      <c r="D15" s="13"/>
      <c r="E15" s="13"/>
      <c r="F15" s="13"/>
      <c r="G15" s="13"/>
      <c r="H15" s="13"/>
      <c r="I15" s="14"/>
      <c r="J15" s="15"/>
    </row>
    <row r="16" spans="1:39" x14ac:dyDescent="0.2">
      <c r="A16" s="127"/>
      <c r="B16" s="128"/>
      <c r="C16" s="13"/>
      <c r="D16" s="13"/>
      <c r="E16" s="13"/>
      <c r="F16" s="13"/>
      <c r="G16" s="13"/>
      <c r="H16" s="13"/>
      <c r="I16" s="14"/>
      <c r="J16" s="15"/>
    </row>
    <row r="17" spans="1:10" x14ac:dyDescent="0.2">
      <c r="A17" s="127"/>
      <c r="B17" s="128"/>
      <c r="C17" s="16"/>
      <c r="D17" s="16"/>
      <c r="E17" s="16"/>
      <c r="F17" s="16"/>
      <c r="G17" s="16"/>
      <c r="H17" s="16"/>
      <c r="I17" s="17"/>
      <c r="J17" s="15"/>
    </row>
    <row r="18" spans="1:10" x14ac:dyDescent="0.2">
      <c r="A18" s="127"/>
      <c r="B18" s="128"/>
      <c r="C18" s="16"/>
      <c r="D18" s="16"/>
      <c r="E18" s="16"/>
      <c r="F18" s="16"/>
      <c r="G18" s="16"/>
      <c r="H18" s="16"/>
      <c r="I18" s="17"/>
      <c r="J18" s="15"/>
    </row>
    <row r="19" spans="1:10" x14ac:dyDescent="0.2">
      <c r="A19" s="127"/>
      <c r="B19" s="128"/>
      <c r="C19" s="16"/>
      <c r="D19" s="16"/>
      <c r="E19" s="16"/>
      <c r="F19" s="16"/>
      <c r="G19" s="16"/>
      <c r="H19" s="16"/>
      <c r="I19" s="17"/>
      <c r="J19" s="15"/>
    </row>
    <row r="20" spans="1:10" x14ac:dyDescent="0.2">
      <c r="A20" s="129"/>
      <c r="B20" s="130"/>
      <c r="C20" s="18"/>
      <c r="D20" s="18"/>
      <c r="E20" s="18"/>
      <c r="F20" s="18"/>
      <c r="G20" s="18"/>
      <c r="H20" s="18"/>
      <c r="I20" s="19"/>
      <c r="J20" s="20"/>
    </row>
    <row r="21" spans="1:10" x14ac:dyDescent="0.2">
      <c r="A21" s="21"/>
      <c r="B21" s="21"/>
      <c r="C21" s="16"/>
      <c r="D21" s="16"/>
      <c r="E21" s="16"/>
      <c r="F21" s="16"/>
      <c r="G21" s="16"/>
      <c r="H21" s="16"/>
      <c r="I21" s="16"/>
      <c r="J21" s="7"/>
    </row>
    <row r="22" spans="1:10" x14ac:dyDescent="0.2">
      <c r="D22" s="3" t="s">
        <v>53</v>
      </c>
      <c r="G22" s="3" t="str">
        <f>TEXT($B$9,"mmmm")</f>
        <v>juin</v>
      </c>
    </row>
    <row r="23" spans="1:10" x14ac:dyDescent="0.2">
      <c r="D23" s="3" t="s">
        <v>54</v>
      </c>
      <c r="G23" s="3" t="str">
        <f>TEXT(G$8,"jj")</f>
        <v>01</v>
      </c>
    </row>
  </sheetData>
  <dataConsolidate/>
  <mergeCells count="5">
    <mergeCell ref="A13:B20"/>
    <mergeCell ref="P2:V2"/>
    <mergeCell ref="A11:I11"/>
    <mergeCell ref="A12:B12"/>
    <mergeCell ref="C12:I12"/>
  </mergeCells>
  <conditionalFormatting sqref="G8">
    <cfRule type="expression" dxfId="10" priority="42">
      <formula>AND(WEEKDAY(DATE(YEAR($B$9),MONTH($B$9),DAY(G$8)),2)&gt;5,TEXT($B$9,"m")=TEXT(G$8,"m"))</formula>
    </cfRule>
  </conditionalFormatting>
  <conditionalFormatting sqref="G9">
    <cfRule type="expression" dxfId="9" priority="24">
      <formula>AND(WEEKDAY(DATE(YEAR($B$9),MONTH($B$9),DAY(G$8)),2)&gt;5,TEXT($B$9,"m")=TEXT(G$8,"m"))</formula>
    </cfRule>
  </conditionalFormatting>
  <conditionalFormatting sqref="H8:AH8 AK8">
    <cfRule type="expression" dxfId="8" priority="23">
      <formula>AND(WEEKDAY(DATE(YEAR($B$9),MONTH($B$9),DAY(H$8)),2)&gt;5,TEXT($B$9,"m")=TEXT(H$8,"m"))</formula>
    </cfRule>
  </conditionalFormatting>
  <conditionalFormatting sqref="H9:AH9">
    <cfRule type="expression" dxfId="7" priority="22">
      <formula>AND(WEEKDAY(DATE(YEAR($B$9),MONTH($B$9),DAY(H$8)),2)&gt;5,TEXT($B$9,"m")=TEXT(H$8,"m"))</formula>
    </cfRule>
  </conditionalFormatting>
  <conditionalFormatting sqref="AK8">
    <cfRule type="expression" dxfId="6" priority="21">
      <formula>TEXT($B$9,"m")&lt;&gt;TEXT(AK$8,"m")</formula>
    </cfRule>
  </conditionalFormatting>
  <conditionalFormatting sqref="AK9">
    <cfRule type="expression" dxfId="5" priority="6">
      <formula>AND(WEEKDAY(DATE(YEAR($B$9),MONTH($B$9),DAY(AK$8)),2)&gt;5,TEXT($B$9,"m")=TEXT(AK$8,"m"))</formula>
    </cfRule>
  </conditionalFormatting>
  <conditionalFormatting sqref="AI8:AJ8">
    <cfRule type="expression" dxfId="4" priority="4">
      <formula>AND(WEEKDAY(DATE(YEAR($B$9),MONTH($B$9),DAY(AI$8)),2)&gt;5,TEXT($B$9,"m")=TEXT(AI$8,"m"))</formula>
    </cfRule>
  </conditionalFormatting>
  <conditionalFormatting sqref="AK9">
    <cfRule type="expression" dxfId="3" priority="5">
      <formula>TEXT($B$9,"m")&lt;&gt;TEXT(AK$8,"m")</formula>
    </cfRule>
  </conditionalFormatting>
  <conditionalFormatting sqref="AI8:AJ8">
    <cfRule type="expression" dxfId="2" priority="3">
      <formula>TEXT($B$9,"m")&lt;&gt;TEXT(AI$8,"m")</formula>
    </cfRule>
  </conditionalFormatting>
  <conditionalFormatting sqref="AI9:AJ9">
    <cfRule type="expression" dxfId="1" priority="2">
      <formula>AND(WEEKDAY(DATE(YEAR($B$9),MONTH($B$9),DAY(AI$8)),2)&gt;5,TEXT($B$9,"m")=TEXT(AI$8,"m"))</formula>
    </cfRule>
  </conditionalFormatting>
  <conditionalFormatting sqref="AI9:AJ9">
    <cfRule type="expression" dxfId="0" priority="1">
      <formula>TEXT($B$9,"m")&lt;&gt;TEXT(AI$8,"m")</formula>
    </cfRule>
  </conditionalFormatting>
  <printOptions horizontalCentered="1"/>
  <pageMargins left="0.19685039370078741" right="0.19685039370078741" top="0.74803149606299213" bottom="0.7480314960629921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Matrice</vt:lpstr>
      <vt:lpstr>CRA Récapitulatif</vt:lpstr>
      <vt:lpstr>CRA Mensuel</vt:lpstr>
      <vt:lpstr>bdd</vt:lpstr>
      <vt:lpstr>Jour</vt:lpstr>
      <vt:lpstr>Mois</vt:lpstr>
      <vt:lpstr>'CRA Mensuel'!Zone_d_impression</vt:lpstr>
      <vt:lpstr>'CRA Récapitulatif'!Zone_d_impression</vt:lpstr>
    </vt:vector>
  </TitlesOfParts>
  <Company>création personnelle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Calcul Jours fériés et heures-jours ouvrables</dc:title>
  <dc:subject>calculs heures ouvrables, jours ouvrables</dc:subject>
  <dc:creator>Jeau-Marc Stoeffler</dc:creator>
  <dc:description>version ALIX 2007_x000d_
calculs heures ouvrables, jours ouvrables entre deux "dates-heures"_x000d_
VBA compatible Access et Excel</dc:description>
  <cp:lastModifiedBy>Greg</cp:lastModifiedBy>
  <cp:lastPrinted>2012-10-09T22:37:13Z</cp:lastPrinted>
  <dcterms:created xsi:type="dcterms:W3CDTF">1999-10-26T09:46:59Z</dcterms:created>
  <dcterms:modified xsi:type="dcterms:W3CDTF">2012-10-11T20:41:58Z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